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Mundial 2006" sheetId="1" r:id="rId1"/>
  </sheets>
  <externalReferences>
    <externalReference r:id="rId4"/>
  </externalReferences>
  <definedNames>
    <definedName name="A.Saudita_against">'Mundial 2006'!$E$23,'Mundial 2006'!$F$39,'Mundial 2006'!$F$54</definedName>
    <definedName name="A.Saudita_played">'Mundial 2006'!$F$23,'Mundial 2006'!$E$39,'Mundial 2006'!$E$54</definedName>
    <definedName name="Alemanha_against">'Mundial 2006'!$F$8,'Mundial 2006'!$F$24,'Mundial 2006'!$E$40</definedName>
    <definedName name="Alemanha_played">'Mundial 2006'!$E$8,'Mundial 2006'!$E$24,'Mundial 2006'!$F$40</definedName>
    <definedName name="Angola_against">'Mundial 2006'!$F$15,'Mundial 2006'!$E$30,'Mundial 2006'!$E$47</definedName>
    <definedName name="Angola_played">'Mundial 2006'!$E$15,'Mundial 2006'!$F$30,'Mundial 2006'!$F$47</definedName>
    <definedName name="Argentina_against">'Mundial 2006'!$F$12,'Mundial 2006'!$F$28,'Mundial 2006'!$E$44</definedName>
    <definedName name="Argentina_played">'Mundial 2006'!$E$12,'Mundial 2006'!$E$28,'Mundial 2006'!$F$44</definedName>
    <definedName name="Austrália_against">'Mundial 2006'!$F$19,'Mundial 2006'!$E$34,'Mundial 2006'!$E$51</definedName>
    <definedName name="Austrália_played">'Mundial 2006'!$E$19,'Mundial 2006'!$F$34,'Mundial 2006'!$F$51</definedName>
    <definedName name="Brasil_against">'Mundial 2006'!$F$18,'Mundial 2006'!$F$34,'Mundial 2006'!$E$50</definedName>
    <definedName name="Brasil_played">'Mundial 2006'!$E$18,'Mundial 2006'!$E$34,'Mundial 2006'!$F$50</definedName>
    <definedName name="C.Marfim_against">'Mundial 2006'!$E$12,'Mundial 2006'!$E$29,'Mundial 2006'!$F$45</definedName>
    <definedName name="C.Marfim_played">'Mundial 2006'!$F$12,'Mundial 2006'!$F$29,'Mundial 2006'!$E$45</definedName>
    <definedName name="C.Rica_against">'Mundial 2006'!$E$8,'Mundial 2006'!$E$25,'Mundial 2006'!$F$41</definedName>
    <definedName name="C.Rica_played">'Mundial 2006'!$F$8,'Mundial 2006'!$F$25,'Mundial 2006'!$E$41</definedName>
    <definedName name="Coreia_against">'Mundial 2006'!$F$21,'Mundial 2006'!$E$36,'Mundial 2006'!$E$45</definedName>
    <definedName name="Coreia_played">'Mundial 2006'!$E$21,'Mundial 2006'!$F$36,'Mundial 2006'!$F$53</definedName>
    <definedName name="Croácia_against">'Mundial 2006'!$E$18,'Mundial 2006'!$E$35,'Mundial 2006'!$F$51</definedName>
    <definedName name="Croácia_played">'Mundial 2006'!$F$18,'Mundial 2006'!$F$35,'Mundial 2006'!$E$51</definedName>
    <definedName name="Equador_against">'Mundial 2006'!$E$9,'Mundial 2006'!$F$25,'Mundial 2006'!$F$40</definedName>
    <definedName name="Equador_played">'Mundial 2006'!$F$9,'Mundial 2006'!$E$25,'Mundial 2006'!$E$40</definedName>
    <definedName name="Espanha_against">'Mundial 2006'!$F$22,'Mundial 2006'!$F$38,'Mundial 2006'!$E$54</definedName>
    <definedName name="Espanha_played">'Mundial 2006'!$E$22,'Mundial 2006'!$E$38,'Mundial 2006'!$F$54</definedName>
    <definedName name="EUA_against">'Mundial 2006'!$F$17,'Mundial 2006'!$E$32,'Mundial 2006'!$E$49</definedName>
    <definedName name="EUA_played">'Mundial 2006'!$E$17,'Mundial 2006'!$F$32,'Mundial 2006'!$F$49</definedName>
    <definedName name="França_against">'Mundial 2006'!$F$20,'Mundial 2006'!$F$36,'Mundial 2006'!$E$52</definedName>
    <definedName name="França_played">'Mundial 2006'!$E$20,'Mundial 2006'!$E$36,'Mundial 2006'!$F$52</definedName>
    <definedName name="Gana_against">'Mundial 2006'!$E$16,'Mundial 2006'!$E$33,'Mundial 2006'!$F$49</definedName>
    <definedName name="Gana_played">'Mundial 2006'!$F$16,'Mundial 2006'!$F$33,'Mundial 2006'!$E$49</definedName>
    <definedName name="Holanda_against">'Mundial 2006'!$E$13,'Mundial 2006'!$F$29,'Mundial 2006'!$F$44</definedName>
    <definedName name="Holanda_played">'Mundial 2006'!$F$13,'Mundial 2006'!$E$29,'Mundial 2006'!$E$44</definedName>
    <definedName name="Inglaterra_against">'Mundial 2006'!$F$10,'Mundial 2006'!$F$26,'Mundial 2006'!$E$42</definedName>
    <definedName name="Inglaterra_played">'Mundial 2006'!$E$10,'Mundial 2006'!$E$26,'Mundial 2006'!$F$42</definedName>
    <definedName name="Irão_against">'Mundial 2006'!$E$14,'Mundial 2006'!$E$31,'Mundial 2006'!$F$47</definedName>
    <definedName name="Irão_played">'Mundial 2006'!$F$14,'Mundial 2006'!$F$31,'Mundial 2006'!$E$47</definedName>
    <definedName name="Itália_against">'Mundial 2006'!$F$16,'Mundial 2006'!$F$32,'Mundial 2006'!$E$48</definedName>
    <definedName name="Itália_played">'Mundial 2006'!$E$16,'Mundial 2006'!$E$32,'Mundial 2006'!$F$48</definedName>
    <definedName name="Japão_against">'Mundial 2006'!$E$19,'Mundial 2006'!$F$35,'Mundial 2006'!$F$50</definedName>
    <definedName name="Japão_played">'Mundial 2006'!$F$19,'Mundial 2006'!$E$35,'Mundial 2006'!$E$50</definedName>
    <definedName name="México_against">'Mundial 2006'!$F$14,'Mundial 2006'!$F$30,'Mundial 2006'!$E$46</definedName>
    <definedName name="México_played">'Mundial 2006'!$E$14,'Mundial 2006'!$E$30,'Mundial 2006'!$F$46</definedName>
    <definedName name="Paraguai_against">'Mundial 2006'!$E$10,'Mundial 2006'!$E$27,'Mundial 2006'!$F$43</definedName>
    <definedName name="Paraguai_played">'Mundial 2006'!$F$10,'Mundial 2006'!$F$27,'Mundial 2006'!$E$43</definedName>
    <definedName name="Polónia_against">'Mundial 2006'!$F$9,'Mundial 2006'!$E$24,'Mundial 2006'!$E$41</definedName>
    <definedName name="Polónia_played">'Mundial 2006'!$E$9,'Mundial 2006'!$F$24,'Mundial 2006'!$F$41</definedName>
    <definedName name="Portugal_against">'Mundial 2006'!$E$15,'Mundial 2006'!$F$31,'Mundial 2006'!$F$46</definedName>
    <definedName name="Portugal_played">'Mundial 2006'!$F$15,'Mundial 2006'!$E$31,'Mundial 2006'!$E$46</definedName>
    <definedName name="_xlnm.Print_Titles" localSheetId="0">'/tmp/tmp_ia0bazb\[Mundial 2006]Mundial 2006'!$1:$4</definedName>
    <definedName name="Rep.Checa_against">'Mundial 2006'!$E$17,'Mundial 2006'!$F$33,'Mundial 2006'!$F$48</definedName>
    <definedName name="Rep.Checa_played">'Mundial 2006'!$F$17,'Mundial 2006'!$E$33,'Mundial 2006'!$E$48</definedName>
    <definedName name="Sérvia_against">'Mundial 2006'!$F$13,'Mundial 2006'!$E$28,'Mundial 2006'!$E$45</definedName>
    <definedName name="Sérvia_played">'Mundial 2006'!$E$13,'Mundial 2006'!$F$28,'Mundial 2006'!$F$45</definedName>
    <definedName name="Suécia_against">'Mundial 2006'!$E$11,'Mundial 2006'!$F$27,'Mundial 2006'!$F$42</definedName>
    <definedName name="Suécia_played">'Mundial 2006'!$F$11,'Mundial 2006'!$E$27,'Mundial 2006'!$E$42</definedName>
    <definedName name="Suiça_against">'Mundial 2006'!$E$20,'Mundial 2006'!$E$37,'Mundial 2006'!$F$53</definedName>
    <definedName name="Suiça_played">'Mundial 2006'!$F$20,'Mundial 2006'!$F$37,'Mundial 2006'!$E$53</definedName>
    <definedName name="T.Tobago_against">'Mundial 2006'!$F$11,'Mundial 2006'!$E$26,'Mundial 2006'!$E$43</definedName>
    <definedName name="T.Tobago_played">'Mundial 2006'!$E$11,'Mundial 2006'!$F$26,'Mundial 2006'!$F$43</definedName>
    <definedName name="Togo_against">'Mundial 2006'!$E$21,'Mundial 2006'!$F$37,'Mundial 2006'!$F$52</definedName>
    <definedName name="Togo_played">'Mundial 2006'!$F$21,'Mundial 2006'!$E$37,'Mundial 2006'!$E$52</definedName>
    <definedName name="Tunísia_against">'Mundial 2006'!$F$23,'Mundial 2006'!$E$38,'Mundial 2006'!$E$55</definedName>
    <definedName name="Tunísia_played">'Mundial 2006'!$E$23,'Mundial 2006'!$F$38,'Mundial 2006'!$F$55</definedName>
    <definedName name="Ucrânia_against">'Mundial 2006'!$E$22,'Mundial 2006'!$E$39,'Mundial 2006'!$F$55</definedName>
    <definedName name="Ucrânia_played">'Mundial 2006'!$F$22,'Mundial 2006'!$F$39,'Mundial 2006'!$E$55</definedName>
  </definedNames>
  <calcPr fullCalcOnLoad="1"/>
</workbook>
</file>

<file path=xl/sharedStrings.xml><?xml version="1.0" encoding="utf-8"?>
<sst xmlns="http://schemas.openxmlformats.org/spreadsheetml/2006/main" count="414" uniqueCount="85">
  <si>
    <t>Data</t>
  </si>
  <si>
    <t>Hora</t>
  </si>
  <si>
    <t>França</t>
  </si>
  <si>
    <t>A</t>
  </si>
  <si>
    <t>Paraguai</t>
  </si>
  <si>
    <t>Espanha</t>
  </si>
  <si>
    <t>B</t>
  </si>
  <si>
    <t>Brasil</t>
  </si>
  <si>
    <t>C</t>
  </si>
  <si>
    <t>Polónia</t>
  </si>
  <si>
    <t>Portugal</t>
  </si>
  <si>
    <t>D</t>
  </si>
  <si>
    <t>Alemanha</t>
  </si>
  <si>
    <t>E</t>
  </si>
  <si>
    <t>Inglaterra</t>
  </si>
  <si>
    <t>Argentina</t>
  </si>
  <si>
    <t>Suécia</t>
  </si>
  <si>
    <t>F</t>
  </si>
  <si>
    <t>Croácia</t>
  </si>
  <si>
    <t>México</t>
  </si>
  <si>
    <t>Itália</t>
  </si>
  <si>
    <t>Equador</t>
  </si>
  <si>
    <t>G</t>
  </si>
  <si>
    <t>H</t>
  </si>
  <si>
    <t>Japão</t>
  </si>
  <si>
    <t>Tunísia</t>
  </si>
  <si>
    <t>Vencedor</t>
  </si>
  <si>
    <t>Derrotado</t>
  </si>
  <si>
    <t>1.ª Fase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</si>
  <si>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</si>
  <si>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</si>
  <si>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</si>
  <si>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</si>
  <si>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</si>
  <si>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</si>
  <si>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</si>
  <si>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</si>
  <si>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Jogados</t>
  </si>
  <si>
    <t>V</t>
  </si>
  <si>
    <t>GM</t>
  </si>
  <si>
    <t>GS</t>
  </si>
  <si>
    <t>DG</t>
  </si>
  <si>
    <t>Pontos</t>
  </si>
  <si>
    <t>J</t>
  </si>
  <si>
    <t>Pts</t>
  </si>
  <si>
    <t>N.º</t>
  </si>
  <si>
    <t>Final</t>
  </si>
  <si>
    <t>Cidade</t>
  </si>
  <si>
    <t>Grupo</t>
  </si>
  <si>
    <t>Semi Final</t>
  </si>
  <si>
    <t>T.Tobago</t>
  </si>
  <si>
    <t>C.Marfim</t>
  </si>
  <si>
    <t>Sérvia Mont.</t>
  </si>
  <si>
    <t>Holanda</t>
  </si>
  <si>
    <t>Irão</t>
  </si>
  <si>
    <t>Angola</t>
  </si>
  <si>
    <t>Gana</t>
  </si>
  <si>
    <t>E.U.A.</t>
  </si>
  <si>
    <t>Rep.Checa</t>
  </si>
  <si>
    <t>Austrália</t>
  </si>
  <si>
    <t>Suiça</t>
  </si>
  <si>
    <t>Coreia Sul</t>
  </si>
  <si>
    <t>Togo</t>
  </si>
  <si>
    <t>Ucrânia</t>
  </si>
  <si>
    <t>A.Saudita</t>
  </si>
  <si>
    <t>MUNDIAL DE FUTEBOL DE 2006</t>
  </si>
  <si>
    <t>Oitavos de Final</t>
  </si>
  <si>
    <t>Gelsenkirchen</t>
  </si>
  <si>
    <t>Frankfurt</t>
  </si>
  <si>
    <t>Dortmund</t>
  </si>
  <si>
    <t>Leipzig</t>
  </si>
  <si>
    <t>Munique</t>
  </si>
  <si>
    <t>Nuremberga</t>
  </si>
  <si>
    <t>Colónia</t>
  </si>
  <si>
    <t>Hanover</t>
  </si>
  <si>
    <t>Berlim</t>
  </si>
  <si>
    <t>Estugarda</t>
  </si>
  <si>
    <t>Hamburgo</t>
  </si>
  <si>
    <t>Kaiserslautern</t>
  </si>
  <si>
    <t>C.Rica</t>
  </si>
  <si>
    <t>Kaiserlautern</t>
  </si>
  <si>
    <t>Quartos de Final</t>
  </si>
  <si>
    <t>3º e 4º Classificado</t>
  </si>
  <si>
    <t xml:space="preserve">A HORA DOS JOGOS É PORTUGUESA  </t>
  </si>
  <si>
    <t>Campeão Mundial de 2006 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</si>
</sst>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mmm/yyyy"/>
  </numFmts>
  <fonts count="1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u val="single"/>
      <sz val="10"/>
      <color indexed="12"/>
      <name val="Arial"/>
      <family val="0"/>
    </font>
    <font>
      <sz val="8"/>
      <name val="Bookman Old Style"/>
      <family val="1"/>
    </font>
    <font>
      <b/>
      <sz val="14"/>
      <name val="Verdana"/>
      <family val="2"/>
    </font>
    <font>
      <sz val="10"/>
      <color indexed="12"/>
      <name val="Verdana"/>
      <family val="2"/>
    </font>
    <font>
      <b/>
      <sz val="16"/>
      <color indexed="12"/>
      <name val="Georgia"/>
      <family val="1"/>
    </font>
    <font>
      <b/>
      <sz val="10"/>
      <name val="Century Gothic"/>
      <family val="2"/>
    </font>
    <font>
      <b/>
      <sz val="12"/>
      <name val="Verdana"/>
      <family val="2"/>
    </font>
    <font>
      <b/>
      <sz val="18"/>
      <name val="Century Gothic"/>
      <family val="2"/>
    </font>
    <font>
      <b/>
      <sz val="22"/>
      <name val="Bookman Old Style"/>
      <family val="1"/>
    </font>
    <font>
      <b/>
      <sz val="12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10"/>
      <name val="Arial Narrow"/>
      <family val="2"/>
    </font>
    <font>
      <b/>
      <u val="single"/>
      <sz val="8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1" fillId="0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16" fontId="9" fillId="0" borderId="5" xfId="0" applyNumberFormat="1" applyFont="1" applyBorder="1" applyAlignment="1">
      <alignment horizontal="center" vertical="center"/>
    </xf>
    <xf numFmtId="20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12" fillId="0" borderId="0" xfId="0" applyFont="1" applyFill="1" applyAlignment="1" quotePrefix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85725</xdr:colOff>
      <xdr:row>62</xdr:row>
      <xdr:rowOff>85725</xdr:rowOff>
    </xdr:from>
    <xdr:ext cx="76200" cy="200025"/>
    <xdr:sp>
      <xdr:nvSpPr>
        <xdr:cNvPr id="1" name="TextBox 41"/>
        <xdr:cNvSpPr txBox="1">
          <a:spLocks noChangeArrowheads="1"/>
        </xdr:cNvSpPr>
      </xdr:nvSpPr>
      <xdr:spPr>
        <a:xfrm>
          <a:off x="7134225" y="1210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161925</xdr:colOff>
      <xdr:row>94</xdr:row>
      <xdr:rowOff>66675</xdr:rowOff>
    </xdr:from>
    <xdr:ext cx="76200" cy="200025"/>
    <xdr:sp>
      <xdr:nvSpPr>
        <xdr:cNvPr id="2" name="TextBox 42"/>
        <xdr:cNvSpPr txBox="1">
          <a:spLocks noChangeArrowheads="1"/>
        </xdr:cNvSpPr>
      </xdr:nvSpPr>
      <xdr:spPr>
        <a:xfrm>
          <a:off x="7448550" y="1798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219075</xdr:colOff>
      <xdr:row>95</xdr:row>
      <xdr:rowOff>38100</xdr:rowOff>
    </xdr:from>
    <xdr:to>
      <xdr:col>7</xdr:col>
      <xdr:colOff>361950</xdr:colOff>
      <xdr:row>108</xdr:row>
      <xdr:rowOff>9525</xdr:rowOff>
    </xdr:to>
    <xdr:pic>
      <xdr:nvPicPr>
        <xdr:cNvPr id="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240375"/>
          <a:ext cx="13620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</xdr:row>
      <xdr:rowOff>38100</xdr:rowOff>
    </xdr:from>
    <xdr:to>
      <xdr:col>13</xdr:col>
      <xdr:colOff>66675</xdr:colOff>
      <xdr:row>4</xdr:row>
      <xdr:rowOff>19050</xdr:rowOff>
    </xdr:to>
    <xdr:pic>
      <xdr:nvPicPr>
        <xdr:cNvPr id="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714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</xdr:row>
      <xdr:rowOff>38100</xdr:rowOff>
    </xdr:from>
    <xdr:to>
      <xdr:col>15</xdr:col>
      <xdr:colOff>76200</xdr:colOff>
      <xdr:row>4</xdr:row>
      <xdr:rowOff>19050</xdr:rowOff>
    </xdr:to>
    <xdr:pic>
      <xdr:nvPicPr>
        <xdr:cNvPr id="5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714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</xdr:row>
      <xdr:rowOff>38100</xdr:rowOff>
    </xdr:from>
    <xdr:to>
      <xdr:col>17</xdr:col>
      <xdr:colOff>19050</xdr:colOff>
      <xdr:row>4</xdr:row>
      <xdr:rowOff>19050</xdr:rowOff>
    </xdr:to>
    <xdr:pic>
      <xdr:nvPicPr>
        <xdr:cNvPr id="6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714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28575</xdr:rowOff>
    </xdr:from>
    <xdr:to>
      <xdr:col>19</xdr:col>
      <xdr:colOff>19050</xdr:colOff>
      <xdr:row>4</xdr:row>
      <xdr:rowOff>19050</xdr:rowOff>
    </xdr:to>
    <xdr:pic>
      <xdr:nvPicPr>
        <xdr:cNvPr id="7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7048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10</xdr:row>
      <xdr:rowOff>38100</xdr:rowOff>
    </xdr:from>
    <xdr:to>
      <xdr:col>13</xdr:col>
      <xdr:colOff>85725</xdr:colOff>
      <xdr:row>11</xdr:row>
      <xdr:rowOff>19050</xdr:rowOff>
    </xdr:to>
    <xdr:pic>
      <xdr:nvPicPr>
        <xdr:cNvPr id="8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2047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10</xdr:row>
      <xdr:rowOff>38100</xdr:rowOff>
    </xdr:from>
    <xdr:to>
      <xdr:col>15</xdr:col>
      <xdr:colOff>76200</xdr:colOff>
      <xdr:row>11</xdr:row>
      <xdr:rowOff>19050</xdr:rowOff>
    </xdr:to>
    <xdr:pic>
      <xdr:nvPicPr>
        <xdr:cNvPr id="9" name="Picture 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96125" y="2047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10</xdr:row>
      <xdr:rowOff>38100</xdr:rowOff>
    </xdr:from>
    <xdr:to>
      <xdr:col>17</xdr:col>
      <xdr:colOff>28575</xdr:colOff>
      <xdr:row>11</xdr:row>
      <xdr:rowOff>19050</xdr:rowOff>
    </xdr:to>
    <xdr:pic>
      <xdr:nvPicPr>
        <xdr:cNvPr id="10" name="Picture 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2047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38100</xdr:rowOff>
    </xdr:from>
    <xdr:to>
      <xdr:col>19</xdr:col>
      <xdr:colOff>28575</xdr:colOff>
      <xdr:row>11</xdr:row>
      <xdr:rowOff>19050</xdr:rowOff>
    </xdr:to>
    <xdr:pic>
      <xdr:nvPicPr>
        <xdr:cNvPr id="11" name="Picture 1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2047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17</xdr:row>
      <xdr:rowOff>38100</xdr:rowOff>
    </xdr:from>
    <xdr:to>
      <xdr:col>13</xdr:col>
      <xdr:colOff>85725</xdr:colOff>
      <xdr:row>18</xdr:row>
      <xdr:rowOff>19050</xdr:rowOff>
    </xdr:to>
    <xdr:pic>
      <xdr:nvPicPr>
        <xdr:cNvPr id="12" name="Picture 1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29400" y="3381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17</xdr:row>
      <xdr:rowOff>38100</xdr:rowOff>
    </xdr:from>
    <xdr:to>
      <xdr:col>15</xdr:col>
      <xdr:colOff>76200</xdr:colOff>
      <xdr:row>18</xdr:row>
      <xdr:rowOff>19050</xdr:rowOff>
    </xdr:to>
    <xdr:pic>
      <xdr:nvPicPr>
        <xdr:cNvPr id="13" name="Picture 1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96125" y="3381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17</xdr:row>
      <xdr:rowOff>38100</xdr:rowOff>
    </xdr:from>
    <xdr:to>
      <xdr:col>17</xdr:col>
      <xdr:colOff>38100</xdr:colOff>
      <xdr:row>18</xdr:row>
      <xdr:rowOff>19050</xdr:rowOff>
    </xdr:to>
    <xdr:pic>
      <xdr:nvPicPr>
        <xdr:cNvPr id="14" name="Picture 1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91425" y="3381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17</xdr:row>
      <xdr:rowOff>38100</xdr:rowOff>
    </xdr:from>
    <xdr:to>
      <xdr:col>19</xdr:col>
      <xdr:colOff>57150</xdr:colOff>
      <xdr:row>18</xdr:row>
      <xdr:rowOff>19050</xdr:rowOff>
    </xdr:to>
    <xdr:pic>
      <xdr:nvPicPr>
        <xdr:cNvPr id="15" name="Picture 1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3381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24</xdr:row>
      <xdr:rowOff>38100</xdr:rowOff>
    </xdr:from>
    <xdr:to>
      <xdr:col>13</xdr:col>
      <xdr:colOff>95250</xdr:colOff>
      <xdr:row>25</xdr:row>
      <xdr:rowOff>19050</xdr:rowOff>
    </xdr:to>
    <xdr:pic>
      <xdr:nvPicPr>
        <xdr:cNvPr id="16" name="Picture 1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38925" y="4714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38100</xdr:rowOff>
    </xdr:from>
    <xdr:to>
      <xdr:col>15</xdr:col>
      <xdr:colOff>76200</xdr:colOff>
      <xdr:row>25</xdr:row>
      <xdr:rowOff>19050</xdr:rowOff>
    </xdr:to>
    <xdr:pic>
      <xdr:nvPicPr>
        <xdr:cNvPr id="17" name="Picture 1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96125" y="4714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24</xdr:row>
      <xdr:rowOff>38100</xdr:rowOff>
    </xdr:from>
    <xdr:to>
      <xdr:col>17</xdr:col>
      <xdr:colOff>38100</xdr:colOff>
      <xdr:row>25</xdr:row>
      <xdr:rowOff>19050</xdr:rowOff>
    </xdr:to>
    <xdr:pic>
      <xdr:nvPicPr>
        <xdr:cNvPr id="18" name="Picture 1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91425" y="4714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38100</xdr:rowOff>
    </xdr:from>
    <xdr:to>
      <xdr:col>19</xdr:col>
      <xdr:colOff>47625</xdr:colOff>
      <xdr:row>25</xdr:row>
      <xdr:rowOff>19050</xdr:rowOff>
    </xdr:to>
    <xdr:pic>
      <xdr:nvPicPr>
        <xdr:cNvPr id="19" name="Picture 1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77200" y="4714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31</xdr:row>
      <xdr:rowOff>38100</xdr:rowOff>
    </xdr:from>
    <xdr:to>
      <xdr:col>13</xdr:col>
      <xdr:colOff>123825</xdr:colOff>
      <xdr:row>32</xdr:row>
      <xdr:rowOff>19050</xdr:rowOff>
    </xdr:to>
    <xdr:pic>
      <xdr:nvPicPr>
        <xdr:cNvPr id="20" name="Picture 1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00" y="6048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31</xdr:row>
      <xdr:rowOff>38100</xdr:rowOff>
    </xdr:from>
    <xdr:to>
      <xdr:col>15</xdr:col>
      <xdr:colOff>95250</xdr:colOff>
      <xdr:row>32</xdr:row>
      <xdr:rowOff>19050</xdr:rowOff>
    </xdr:to>
    <xdr:pic>
      <xdr:nvPicPr>
        <xdr:cNvPr id="21" name="Picture 1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15175" y="6048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31</xdr:row>
      <xdr:rowOff>38100</xdr:rowOff>
    </xdr:from>
    <xdr:to>
      <xdr:col>17</xdr:col>
      <xdr:colOff>57150</xdr:colOff>
      <xdr:row>32</xdr:row>
      <xdr:rowOff>19050</xdr:rowOff>
    </xdr:to>
    <xdr:pic>
      <xdr:nvPicPr>
        <xdr:cNvPr id="22" name="Picture 13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10475" y="6048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31</xdr:row>
      <xdr:rowOff>38100</xdr:rowOff>
    </xdr:from>
    <xdr:to>
      <xdr:col>19</xdr:col>
      <xdr:colOff>57150</xdr:colOff>
      <xdr:row>32</xdr:row>
      <xdr:rowOff>19050</xdr:rowOff>
    </xdr:to>
    <xdr:pic>
      <xdr:nvPicPr>
        <xdr:cNvPr id="23" name="Picture 1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86725" y="6048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38</xdr:row>
      <xdr:rowOff>38100</xdr:rowOff>
    </xdr:from>
    <xdr:to>
      <xdr:col>13</xdr:col>
      <xdr:colOff>104775</xdr:colOff>
      <xdr:row>39</xdr:row>
      <xdr:rowOff>19050</xdr:rowOff>
    </xdr:to>
    <xdr:pic>
      <xdr:nvPicPr>
        <xdr:cNvPr id="24" name="Picture 13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48450" y="7381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38</xdr:row>
      <xdr:rowOff>38100</xdr:rowOff>
    </xdr:from>
    <xdr:to>
      <xdr:col>15</xdr:col>
      <xdr:colOff>76200</xdr:colOff>
      <xdr:row>39</xdr:row>
      <xdr:rowOff>19050</xdr:rowOff>
    </xdr:to>
    <xdr:pic>
      <xdr:nvPicPr>
        <xdr:cNvPr id="25" name="Picture 1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96125" y="7381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38</xdr:row>
      <xdr:rowOff>38100</xdr:rowOff>
    </xdr:from>
    <xdr:to>
      <xdr:col>17</xdr:col>
      <xdr:colOff>47625</xdr:colOff>
      <xdr:row>39</xdr:row>
      <xdr:rowOff>19050</xdr:rowOff>
    </xdr:to>
    <xdr:pic>
      <xdr:nvPicPr>
        <xdr:cNvPr id="26" name="Picture 1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00950" y="7381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38</xdr:row>
      <xdr:rowOff>38100</xdr:rowOff>
    </xdr:from>
    <xdr:to>
      <xdr:col>19</xdr:col>
      <xdr:colOff>66675</xdr:colOff>
      <xdr:row>39</xdr:row>
      <xdr:rowOff>19050</xdr:rowOff>
    </xdr:to>
    <xdr:pic>
      <xdr:nvPicPr>
        <xdr:cNvPr id="27" name="Picture 13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096250" y="7381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45</xdr:row>
      <xdr:rowOff>38100</xdr:rowOff>
    </xdr:from>
    <xdr:to>
      <xdr:col>13</xdr:col>
      <xdr:colOff>123825</xdr:colOff>
      <xdr:row>46</xdr:row>
      <xdr:rowOff>19050</xdr:rowOff>
    </xdr:to>
    <xdr:pic>
      <xdr:nvPicPr>
        <xdr:cNvPr id="28" name="Picture 13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00" y="8715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45</xdr:row>
      <xdr:rowOff>38100</xdr:rowOff>
    </xdr:from>
    <xdr:to>
      <xdr:col>15</xdr:col>
      <xdr:colOff>104775</xdr:colOff>
      <xdr:row>46</xdr:row>
      <xdr:rowOff>19050</xdr:rowOff>
    </xdr:to>
    <xdr:pic>
      <xdr:nvPicPr>
        <xdr:cNvPr id="29" name="Picture 1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24700" y="8715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45</xdr:row>
      <xdr:rowOff>38100</xdr:rowOff>
    </xdr:from>
    <xdr:to>
      <xdr:col>17</xdr:col>
      <xdr:colOff>57150</xdr:colOff>
      <xdr:row>46</xdr:row>
      <xdr:rowOff>19050</xdr:rowOff>
    </xdr:to>
    <xdr:pic>
      <xdr:nvPicPr>
        <xdr:cNvPr id="30" name="Picture 14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10475" y="8715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45</xdr:row>
      <xdr:rowOff>38100</xdr:rowOff>
    </xdr:from>
    <xdr:to>
      <xdr:col>19</xdr:col>
      <xdr:colOff>66675</xdr:colOff>
      <xdr:row>46</xdr:row>
      <xdr:rowOff>19050</xdr:rowOff>
    </xdr:to>
    <xdr:pic>
      <xdr:nvPicPr>
        <xdr:cNvPr id="31" name="Picture 1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96250" y="8715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52</xdr:row>
      <xdr:rowOff>28575</xdr:rowOff>
    </xdr:from>
    <xdr:to>
      <xdr:col>13</xdr:col>
      <xdr:colOff>123825</xdr:colOff>
      <xdr:row>53</xdr:row>
      <xdr:rowOff>9525</xdr:rowOff>
    </xdr:to>
    <xdr:pic>
      <xdr:nvPicPr>
        <xdr:cNvPr id="32" name="Picture 14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00" y="100393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52</xdr:row>
      <xdr:rowOff>28575</xdr:rowOff>
    </xdr:from>
    <xdr:to>
      <xdr:col>15</xdr:col>
      <xdr:colOff>85725</xdr:colOff>
      <xdr:row>53</xdr:row>
      <xdr:rowOff>9525</xdr:rowOff>
    </xdr:to>
    <xdr:pic>
      <xdr:nvPicPr>
        <xdr:cNvPr id="33" name="Picture 14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05650" y="100393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52</xdr:row>
      <xdr:rowOff>38100</xdr:rowOff>
    </xdr:from>
    <xdr:to>
      <xdr:col>17</xdr:col>
      <xdr:colOff>38100</xdr:colOff>
      <xdr:row>53</xdr:row>
      <xdr:rowOff>19050</xdr:rowOff>
    </xdr:to>
    <xdr:pic>
      <xdr:nvPicPr>
        <xdr:cNvPr id="34" name="Picture 14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91425" y="10048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52</xdr:row>
      <xdr:rowOff>38100</xdr:rowOff>
    </xdr:from>
    <xdr:to>
      <xdr:col>19</xdr:col>
      <xdr:colOff>57150</xdr:colOff>
      <xdr:row>53</xdr:row>
      <xdr:rowOff>19050</xdr:rowOff>
    </xdr:to>
    <xdr:pic>
      <xdr:nvPicPr>
        <xdr:cNvPr id="35" name="Picture 1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086725" y="100488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ndial%20200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dial 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3" width="9.140625" style="1" customWidth="1"/>
    <col min="4" max="4" width="14.7109375" style="1" bestFit="1" customWidth="1"/>
    <col min="5" max="6" width="3.57421875" style="2" customWidth="1"/>
    <col min="7" max="7" width="14.7109375" style="1" bestFit="1" customWidth="1"/>
    <col min="8" max="8" width="14.00390625" style="1" bestFit="1" customWidth="1"/>
    <col min="9" max="9" width="9.140625" style="2" customWidth="1"/>
    <col min="10" max="11" width="11.8515625" style="1" hidden="1" customWidth="1"/>
    <col min="12" max="12" width="16.421875" style="1" customWidth="1"/>
    <col min="13" max="16" width="3.57421875" style="1" customWidth="1"/>
    <col min="17" max="17" width="4.421875" style="1" bestFit="1" customWidth="1"/>
    <col min="18" max="19" width="3.57421875" style="1" customWidth="1"/>
    <col min="20" max="20" width="4.57421875" style="1" bestFit="1" customWidth="1"/>
    <col min="21" max="21" width="3.57421875" style="1" hidden="1" customWidth="1"/>
    <col min="22" max="22" width="6.140625" style="1" hidden="1" customWidth="1"/>
    <col min="23" max="23" width="14.7109375" style="1" hidden="1" customWidth="1"/>
    <col min="24" max="24" width="8.57421875" style="1" hidden="1" customWidth="1"/>
    <col min="25" max="27" width="2.8515625" style="1" hidden="1" customWidth="1"/>
    <col min="28" max="30" width="4.28125" style="1" hidden="1" customWidth="1"/>
    <col min="31" max="31" width="7.421875" style="1" hidden="1" customWidth="1"/>
    <col min="32" max="32" width="13.140625" style="1" hidden="1" customWidth="1"/>
    <col min="33" max="72" width="9.140625" style="1" hidden="1" customWidth="1"/>
    <col min="73" max="16384" width="9.140625" style="1" customWidth="1"/>
  </cols>
  <sheetData>
    <row r="1" ht="8.25" customHeight="1"/>
    <row r="2" spans="1:20" ht="25.5" customHeight="1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9" ht="19.5" customHeight="1">
      <c r="B3" s="41"/>
      <c r="C3" s="39"/>
      <c r="D3" s="39"/>
      <c r="E3" s="40"/>
      <c r="F3" s="40"/>
      <c r="G3" s="39"/>
      <c r="H3" s="39"/>
      <c r="I3" s="40"/>
    </row>
    <row r="4" spans="1:20" ht="15" customHeight="1">
      <c r="A4" s="25"/>
      <c r="C4" s="25"/>
      <c r="D4" s="25"/>
      <c r="E4" s="25"/>
      <c r="F4" s="25"/>
      <c r="G4" s="25"/>
      <c r="H4" s="25"/>
      <c r="I4" s="25"/>
      <c r="L4" s="46" t="s">
        <v>29</v>
      </c>
      <c r="M4" s="7"/>
      <c r="N4" s="7"/>
      <c r="O4" s="7"/>
      <c r="P4" s="7"/>
      <c r="Q4" s="7"/>
      <c r="R4" s="7"/>
      <c r="S4" s="7"/>
      <c r="T4" s="8"/>
    </row>
    <row r="5" spans="1:20" ht="15" customHeight="1">
      <c r="A5" s="24" t="s">
        <v>45</v>
      </c>
      <c r="B5" s="24" t="s">
        <v>0</v>
      </c>
      <c r="C5" s="24" t="s">
        <v>1</v>
      </c>
      <c r="D5" s="42" t="s">
        <v>28</v>
      </c>
      <c r="E5" s="42"/>
      <c r="F5" s="42"/>
      <c r="G5" s="42"/>
      <c r="H5" s="24" t="s">
        <v>47</v>
      </c>
      <c r="I5" s="24" t="s">
        <v>48</v>
      </c>
      <c r="L5" s="47"/>
      <c r="M5" s="9" t="s">
        <v>43</v>
      </c>
      <c r="N5" s="9" t="s">
        <v>38</v>
      </c>
      <c r="O5" s="9" t="s">
        <v>11</v>
      </c>
      <c r="P5" s="9" t="s">
        <v>13</v>
      </c>
      <c r="Q5" s="9" t="s">
        <v>39</v>
      </c>
      <c r="R5" s="9" t="s">
        <v>40</v>
      </c>
      <c r="S5" s="9" t="s">
        <v>41</v>
      </c>
      <c r="T5" s="10" t="s">
        <v>44</v>
      </c>
    </row>
    <row r="6" spans="10:23" ht="15" customHeight="1">
      <c r="J6" s="1" t="s">
        <v>26</v>
      </c>
      <c r="K6" s="1" t="s">
        <v>27</v>
      </c>
      <c r="L6" s="12" t="str">
        <f aca="true" t="shared" si="0" ref="L6:T9">BL11</f>
        <v>Alemanha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4">
        <f t="shared" si="0"/>
        <v>0</v>
      </c>
      <c r="W6" s="1" t="s">
        <v>28</v>
      </c>
    </row>
    <row r="7" spans="2:20" ht="15" customHeight="1">
      <c r="B7" s="45" t="s">
        <v>83</v>
      </c>
      <c r="C7" s="45"/>
      <c r="D7" s="45"/>
      <c r="L7" s="15" t="str">
        <f t="shared" si="0"/>
        <v>C.Rica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6">
        <f t="shared" si="0"/>
        <v>0</v>
      </c>
    </row>
    <row r="8" spans="1:20" ht="15" customHeight="1">
      <c r="A8" s="11">
        <v>1</v>
      </c>
      <c r="B8" s="32">
        <v>38877</v>
      </c>
      <c r="C8" s="33">
        <v>0.7083333333333334</v>
      </c>
      <c r="D8" s="35" t="s">
        <v>12</v>
      </c>
      <c r="E8" s="26"/>
      <c r="F8" s="26"/>
      <c r="G8" s="37" t="s">
        <v>79</v>
      </c>
      <c r="H8" s="34" t="s">
        <v>71</v>
      </c>
      <c r="I8" s="11" t="s">
        <v>3</v>
      </c>
      <c r="J8" s="1">
        <f>IF(E8&lt;&gt;"",IF(E8&gt;F8,D8,IF(F8&gt;E8,G8,"Empate")),"")</f>
      </c>
      <c r="K8" s="1">
        <f aca="true" t="shared" si="1" ref="K8:K55">IF(E8&lt;&gt;"",IF(E8&lt;F8,D8,IF(F8&lt;E8,G8,"Empate")),"")</f>
      </c>
      <c r="L8" s="15" t="str">
        <f t="shared" si="0"/>
        <v>Polónia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6">
        <f t="shared" si="0"/>
        <v>0</v>
      </c>
    </row>
    <row r="9" spans="1:23" ht="15" customHeight="1">
      <c r="A9" s="11">
        <v>2</v>
      </c>
      <c r="B9" s="32">
        <v>38877</v>
      </c>
      <c r="C9" s="33">
        <v>0.8333333333333334</v>
      </c>
      <c r="D9" s="35" t="s">
        <v>9</v>
      </c>
      <c r="E9" s="26"/>
      <c r="F9" s="26"/>
      <c r="G9" s="38" t="s">
        <v>21</v>
      </c>
      <c r="H9" s="11" t="s">
        <v>67</v>
      </c>
      <c r="I9" s="11" t="s">
        <v>3</v>
      </c>
      <c r="J9" s="1">
        <f aca="true" t="shared" si="2" ref="J9:J55">IF(E9&lt;&gt;"",IF(E9&gt;F9,D9,IF(F9&gt;E9,G9,"Empate")),"")</f>
      </c>
      <c r="K9" s="1">
        <f t="shared" si="1"/>
      </c>
      <c r="L9" s="17" t="str">
        <f t="shared" si="0"/>
        <v>Equador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9">
        <f t="shared" si="0"/>
        <v>0</v>
      </c>
      <c r="W9" s="1" t="s">
        <v>29</v>
      </c>
    </row>
    <row r="10" spans="1:31" ht="15" customHeight="1">
      <c r="A10" s="11">
        <v>3</v>
      </c>
      <c r="B10" s="32">
        <v>38878</v>
      </c>
      <c r="C10" s="33">
        <v>0.5833333333333334</v>
      </c>
      <c r="D10" s="35" t="s">
        <v>14</v>
      </c>
      <c r="E10" s="26"/>
      <c r="F10" s="26"/>
      <c r="G10" s="38" t="s">
        <v>4</v>
      </c>
      <c r="H10" s="11" t="s">
        <v>68</v>
      </c>
      <c r="I10" s="11" t="s">
        <v>6</v>
      </c>
      <c r="J10" s="1">
        <f t="shared" si="2"/>
      </c>
      <c r="K10" s="1">
        <f t="shared" si="1"/>
      </c>
      <c r="X10" s="1" t="s">
        <v>37</v>
      </c>
      <c r="Y10" s="1" t="s">
        <v>38</v>
      </c>
      <c r="Z10" s="1" t="s">
        <v>11</v>
      </c>
      <c r="AA10" s="1" t="s">
        <v>13</v>
      </c>
      <c r="AB10" s="1" t="s">
        <v>39</v>
      </c>
      <c r="AC10" s="1" t="s">
        <v>40</v>
      </c>
      <c r="AD10" s="1" t="s">
        <v>41</v>
      </c>
      <c r="AE10" s="1" t="s">
        <v>42</v>
      </c>
    </row>
    <row r="11" spans="1:72" ht="15" customHeight="1">
      <c r="A11" s="11">
        <v>4</v>
      </c>
      <c r="B11" s="32">
        <v>38878</v>
      </c>
      <c r="C11" s="33">
        <v>0.7083333333333334</v>
      </c>
      <c r="D11" s="35" t="s">
        <v>50</v>
      </c>
      <c r="E11" s="26"/>
      <c r="F11" s="26"/>
      <c r="G11" s="38" t="s">
        <v>16</v>
      </c>
      <c r="H11" s="34" t="s">
        <v>69</v>
      </c>
      <c r="I11" s="11" t="s">
        <v>6</v>
      </c>
      <c r="J11" s="1">
        <f t="shared" si="2"/>
      </c>
      <c r="K11" s="1">
        <f t="shared" si="1"/>
      </c>
      <c r="L11" s="46" t="s">
        <v>30</v>
      </c>
      <c r="M11" s="7"/>
      <c r="N11" s="7"/>
      <c r="O11" s="7"/>
      <c r="P11" s="7"/>
      <c r="Q11" s="7"/>
      <c r="R11" s="7"/>
      <c r="S11" s="7"/>
      <c r="T11" s="8"/>
      <c r="W11" s="1" t="s">
        <v>12</v>
      </c>
      <c r="X11" s="1">
        <f>COUNT(Alemanha_played)</f>
        <v>0</v>
      </c>
      <c r="Y11" s="1">
        <f>COUNTIF($J$8:$J$55,$W11)</f>
        <v>0</v>
      </c>
      <c r="Z11" s="1">
        <f>COUNTIF($K$8:$K$55,$W11)</f>
        <v>0</v>
      </c>
      <c r="AA11" s="1">
        <f>X11-Y11-Z11</f>
        <v>0</v>
      </c>
      <c r="AB11" s="1">
        <f>SUM(Alemanha_played)</f>
        <v>0</v>
      </c>
      <c r="AC11" s="1">
        <f>SUM(Alemanha_against)</f>
        <v>0</v>
      </c>
      <c r="AD11" s="1">
        <f>AB11-AC11</f>
        <v>0</v>
      </c>
      <c r="AE11" s="1">
        <f>Y11*3+AA11</f>
        <v>0</v>
      </c>
      <c r="AF11" s="1" t="str">
        <f>IF($AE11&gt;=$AE12,$W11,$W12)</f>
        <v>Alemanha</v>
      </c>
      <c r="AG11" s="1">
        <f>VLOOKUP($AF11,$W11:$AE14,9,FALSE)</f>
        <v>0</v>
      </c>
      <c r="AH11" s="1" t="str">
        <f>IF($AG11&gt;=$AG13,$AF11,$AF13)</f>
        <v>Alemanha</v>
      </c>
      <c r="AI11" s="1">
        <f>VLOOKUP($AH11,$W11:$AE14,9,FALSE)</f>
        <v>0</v>
      </c>
      <c r="AJ11" s="1" t="str">
        <f>IF($AI11&gt;=$AI14,$AH11,$AH14)</f>
        <v>Alemanha</v>
      </c>
      <c r="AK11" s="1">
        <f>VLOOKUP($AJ11,$W11:$AE14,9,FALSE)</f>
        <v>0</v>
      </c>
      <c r="AL11" s="1">
        <f>VLOOKUP($AJ11,$W11:$AE14,8,FALSE)</f>
        <v>0</v>
      </c>
      <c r="AM11" s="1" t="str">
        <f>IF(AND($AK11=$AK12,$AL12&gt;$AL11),$AJ12,$AJ11)</f>
        <v>Alemanha</v>
      </c>
      <c r="AN11" s="1">
        <f>VLOOKUP($AM11,$W11:$AE14,9,FALSE)</f>
        <v>0</v>
      </c>
      <c r="AO11" s="1">
        <f>VLOOKUP($AM11,$W11:$AE14,8,FALSE)</f>
        <v>0</v>
      </c>
      <c r="AP11" s="1" t="str">
        <f>IF(AND($AN11=$AN13,$AO13&gt;$AO11),$AM13,$AM11)</f>
        <v>Alemanha</v>
      </c>
      <c r="AQ11" s="1">
        <f>VLOOKUP($AP11,$W11:$AE14,9,FALSE)</f>
        <v>0</v>
      </c>
      <c r="AR11" s="1">
        <f>VLOOKUP($AP11,$W11:$AE14,8,FALSE)</f>
        <v>0</v>
      </c>
      <c r="AS11" s="1" t="str">
        <f>IF(AND($AQ11=$AQ14,$AR14&gt;$AR11),$AP14,$AP11)</f>
        <v>Alemanha</v>
      </c>
      <c r="AT11" s="1">
        <f>VLOOKUP($AS11,$W11:$AE14,9,FALSE)</f>
        <v>0</v>
      </c>
      <c r="AU11" s="1">
        <f>VLOOKUP($AS11,$W11:$AE14,8,FALSE)</f>
        <v>0</v>
      </c>
      <c r="AV11" s="1">
        <f>VLOOKUP($AS11,$W11:$AE14,6,FALSE)</f>
        <v>0</v>
      </c>
      <c r="AW11" s="1" t="str">
        <f>IF(AND($AT11=$AT12,$AU11=$AU12,$AV12&gt;$AV11),$AS12,$AS11)</f>
        <v>Alemanha</v>
      </c>
      <c r="AX11" s="1">
        <f>VLOOKUP($AW11,$W11:$AE14,9,FALSE)</f>
        <v>0</v>
      </c>
      <c r="AY11" s="1">
        <f>VLOOKUP($AW11,$W11:$AE14,8,FALSE)</f>
        <v>0</v>
      </c>
      <c r="AZ11" s="1">
        <f>VLOOKUP($AW11,$W11:$AE14,6,FALSE)</f>
        <v>0</v>
      </c>
      <c r="BA11" s="1" t="str">
        <f>IF(AND($AX11=$AX13,$AY11=$AY13,$AZ13&gt;$AZ11),$AW13,$AW11)</f>
        <v>Alemanha</v>
      </c>
      <c r="BB11" s="1">
        <f>VLOOKUP($BA11,$W11:$AE14,9,FALSE)</f>
        <v>0</v>
      </c>
      <c r="BC11" s="1">
        <f>VLOOKUP($BA11,$W11:$AE14,8,FALSE)</f>
        <v>0</v>
      </c>
      <c r="BD11" s="1">
        <f>VLOOKUP($BA11,$W11:$AE14,6,FALSE)</f>
        <v>0</v>
      </c>
      <c r="BE11" s="1" t="str">
        <f>IF(AND($BB11=$BB14,$BC11=$BC14,$BD14&gt;$BD11),$BA14,$BA11)</f>
        <v>Alemanha</v>
      </c>
      <c r="BF11" s="1">
        <f>VLOOKUP($BE11,$W11:$AE14,9,FALSE)</f>
        <v>0</v>
      </c>
      <c r="BG11" s="1">
        <f>VLOOKUP($BE11,$W11:$AE14,8,FALSE)</f>
        <v>0</v>
      </c>
      <c r="BH11" s="1">
        <f>VLOOKUP($BE11,$W11:$AE14,6,FALSE)</f>
        <v>0</v>
      </c>
      <c r="BL11" s="1" t="str">
        <f>BE11</f>
        <v>Alemanha</v>
      </c>
      <c r="BM11" s="1">
        <f>VLOOKUP($BL11,$W11:$AE14,2,FALSE)</f>
        <v>0</v>
      </c>
      <c r="BN11" s="1">
        <f>VLOOKUP($BL11,$W11:$AE14,3,FALSE)</f>
        <v>0</v>
      </c>
      <c r="BO11" s="1">
        <f>VLOOKUP($BL11,$W11:$AE14,4,FALSE)</f>
        <v>0</v>
      </c>
      <c r="BP11" s="1">
        <f>VLOOKUP($BL11,$W11:$AE14,5,FALSE)</f>
        <v>0</v>
      </c>
      <c r="BQ11" s="1">
        <f>VLOOKUP($BL11,$W11:$AE14,6,FALSE)</f>
        <v>0</v>
      </c>
      <c r="BR11" s="1">
        <f>VLOOKUP($BL11,$W11:$AE14,7,FALSE)</f>
        <v>0</v>
      </c>
      <c r="BS11" s="1">
        <f>VLOOKUP($BL11,$W11:$AE14,8,FALSE)</f>
        <v>0</v>
      </c>
      <c r="BT11" s="1">
        <f>VLOOKUP($BL11,$W11:$AE14,9,FALSE)</f>
        <v>0</v>
      </c>
    </row>
    <row r="12" spans="1:72" ht="15" customHeight="1">
      <c r="A12" s="11">
        <v>5</v>
      </c>
      <c r="B12" s="32">
        <v>38878</v>
      </c>
      <c r="C12" s="33">
        <v>0.8333333333333334</v>
      </c>
      <c r="D12" s="35" t="s">
        <v>15</v>
      </c>
      <c r="E12" s="26"/>
      <c r="F12" s="26"/>
      <c r="G12" s="38" t="s">
        <v>51</v>
      </c>
      <c r="H12" s="34" t="s">
        <v>77</v>
      </c>
      <c r="I12" s="11" t="s">
        <v>8</v>
      </c>
      <c r="J12" s="1">
        <f t="shared" si="2"/>
      </c>
      <c r="K12" s="1">
        <f t="shared" si="1"/>
      </c>
      <c r="L12" s="47"/>
      <c r="M12" s="20" t="s">
        <v>43</v>
      </c>
      <c r="N12" s="20" t="s">
        <v>38</v>
      </c>
      <c r="O12" s="20" t="s">
        <v>11</v>
      </c>
      <c r="P12" s="20" t="s">
        <v>13</v>
      </c>
      <c r="Q12" s="20" t="s">
        <v>39</v>
      </c>
      <c r="R12" s="20" t="s">
        <v>40</v>
      </c>
      <c r="S12" s="20" t="s">
        <v>41</v>
      </c>
      <c r="T12" s="21" t="s">
        <v>44</v>
      </c>
      <c r="W12" s="3" t="s">
        <v>79</v>
      </c>
      <c r="X12" s="1">
        <f>COUNT(C.Rica_played)</f>
        <v>0</v>
      </c>
      <c r="Y12" s="1">
        <f>COUNTIF($J$8:$J$55,$W12)</f>
        <v>0</v>
      </c>
      <c r="Z12" s="1">
        <f>COUNTIF($K$8:$K$55,$W12)</f>
        <v>0</v>
      </c>
      <c r="AA12" s="1">
        <f>X12-Y12-Z12</f>
        <v>0</v>
      </c>
      <c r="AB12" s="1">
        <f>SUM(C.Rica_played)</f>
        <v>0</v>
      </c>
      <c r="AC12" s="1">
        <f>SUM(C.Rica_against)</f>
        <v>0</v>
      </c>
      <c r="AD12" s="1">
        <f>AB12-AC12</f>
        <v>0</v>
      </c>
      <c r="AE12" s="1">
        <f>Y12*3+AA12</f>
        <v>0</v>
      </c>
      <c r="AF12" s="1" t="str">
        <f>IF($AE12&lt;=$AE11,$W12,$W11)</f>
        <v>C.Rica</v>
      </c>
      <c r="AG12" s="1">
        <f>VLOOKUP($AF12,$W11:$AE14,9,FALSE)</f>
        <v>0</v>
      </c>
      <c r="AH12" s="1" t="str">
        <f>IF(AG12&gt;=AG14,AF12,AF14)</f>
        <v>C.Rica</v>
      </c>
      <c r="AI12" s="1">
        <f>VLOOKUP($AH12,$W11:$AE14,9,FALSE)</f>
        <v>0</v>
      </c>
      <c r="AJ12" s="1" t="str">
        <f>IF($AI12&gt;=$AI13,$AH12,$AH13)</f>
        <v>C.Rica</v>
      </c>
      <c r="AK12" s="1">
        <f>VLOOKUP($AJ12,$W11:$AE14,9,FALSE)</f>
        <v>0</v>
      </c>
      <c r="AL12" s="1">
        <f>VLOOKUP($AJ12,$W11:$AE14,8,FALSE)</f>
        <v>0</v>
      </c>
      <c r="AM12" s="1" t="str">
        <f>IF(AND($AK11=$AK12,$AL12&gt;$AL11),$AJ11,$AJ12)</f>
        <v>C.Rica</v>
      </c>
      <c r="AN12" s="1">
        <f>VLOOKUP($AM12,$W11:$AE14,9,FALSE)</f>
        <v>0</v>
      </c>
      <c r="AO12" s="1">
        <f>VLOOKUP($AM12,$W11:$AE14,8,FALSE)</f>
        <v>0</v>
      </c>
      <c r="AP12" s="1" t="str">
        <f>IF(AND($AN12=$AN14,$AO14&gt;$AO12),$AM14,$AM12)</f>
        <v>C.Rica</v>
      </c>
      <c r="AQ12" s="1">
        <f>VLOOKUP($AP12,$W11:$AE14,9,FALSE)</f>
        <v>0</v>
      </c>
      <c r="AR12" s="1">
        <f>VLOOKUP($AP12,$W11:$AE14,8,FALSE)</f>
        <v>0</v>
      </c>
      <c r="AS12" s="1" t="str">
        <f>IF(AND($AQ12=$AQ13,$AR13&gt;$AR12),$AP13,$AP12)</f>
        <v>C.Rica</v>
      </c>
      <c r="AT12" s="1">
        <f>VLOOKUP($AS12,$W11:$AE14,9,FALSE)</f>
        <v>0</v>
      </c>
      <c r="AU12" s="1">
        <f>VLOOKUP($AS12,$W11:$AE14,8,FALSE)</f>
        <v>0</v>
      </c>
      <c r="AV12" s="1">
        <f>VLOOKUP($AS12,$W11:$AE14,6,FALSE)</f>
        <v>0</v>
      </c>
      <c r="AW12" s="1" t="str">
        <f>IF(AND($AT11=$AT12,$AU11=$AU12,$AV12&gt;$AV11),$AS11,$AS12)</f>
        <v>C.Rica</v>
      </c>
      <c r="AX12" s="1">
        <f>VLOOKUP($AW12,$W11:$AE14,9,FALSE)</f>
        <v>0</v>
      </c>
      <c r="AY12" s="1">
        <f>VLOOKUP($AW12,$W11:$AE14,8,FALSE)</f>
        <v>0</v>
      </c>
      <c r="AZ12" s="1">
        <f>VLOOKUP($AW12,$W11:$AE14,6,FALSE)</f>
        <v>0</v>
      </c>
      <c r="BA12" s="1" t="str">
        <f>IF(AND($AX12=$AX14,$AY12=$AY14,$AZ14&gt;$AZ12),$AW14,$AW12)</f>
        <v>C.Rica</v>
      </c>
      <c r="BB12" s="1">
        <f>VLOOKUP($BA12,$W11:$AE14,9,FALSE)</f>
        <v>0</v>
      </c>
      <c r="BC12" s="1">
        <f>VLOOKUP($BA12,$W11:$AE14,8,FALSE)</f>
        <v>0</v>
      </c>
      <c r="BD12" s="1">
        <f>VLOOKUP($BA12,$W11:$AE14,6,FALSE)</f>
        <v>0</v>
      </c>
      <c r="BE12" s="1" t="str">
        <f>IF(AND($BB12=$BB13,$BC12=$BC13,$BD13&gt;$BD12),$BA13,$BA12)</f>
        <v>C.Rica</v>
      </c>
      <c r="BF12" s="1">
        <f>VLOOKUP($BE12,$W11:$AE14,9,FALSE)</f>
        <v>0</v>
      </c>
      <c r="BG12" s="1">
        <f>VLOOKUP($BE12,$W11:$AE14,8,FALSE)</f>
        <v>0</v>
      </c>
      <c r="BH12" s="1">
        <f>VLOOKUP($BE12,$W11:$AE14,6,FALSE)</f>
        <v>0</v>
      </c>
      <c r="BL12" s="1" t="str">
        <f>BE12</f>
        <v>C.Rica</v>
      </c>
      <c r="BM12" s="1">
        <f>VLOOKUP($BL12,$W11:$AE14,2,FALSE)</f>
        <v>0</v>
      </c>
      <c r="BN12" s="1">
        <f>VLOOKUP($BL12,$W11:$AE14,3,FALSE)</f>
        <v>0</v>
      </c>
      <c r="BO12" s="1">
        <f>VLOOKUP($BL12,$W11:$AE14,4,FALSE)</f>
        <v>0</v>
      </c>
      <c r="BP12" s="1">
        <f>VLOOKUP($BL12,$W11:$AE14,5,FALSE)</f>
        <v>0</v>
      </c>
      <c r="BQ12" s="1">
        <f>VLOOKUP($BL12,$W11:$AE14,6,FALSE)</f>
        <v>0</v>
      </c>
      <c r="BR12" s="1">
        <f>VLOOKUP($BL12,$W11:$AE14,7,FALSE)</f>
        <v>0</v>
      </c>
      <c r="BS12" s="1">
        <f>VLOOKUP($BL12,$W11:$AE14,8,FALSE)</f>
        <v>0</v>
      </c>
      <c r="BT12" s="1">
        <f>VLOOKUP($BL12,$W11:$AE14,9,FALSE)</f>
        <v>0</v>
      </c>
    </row>
    <row r="13" spans="1:72" ht="15" customHeight="1">
      <c r="A13" s="11">
        <v>6</v>
      </c>
      <c r="B13" s="32">
        <v>38879</v>
      </c>
      <c r="C13" s="33">
        <v>0.5833333333333334</v>
      </c>
      <c r="D13" s="35" t="s">
        <v>52</v>
      </c>
      <c r="E13" s="26"/>
      <c r="F13" s="26"/>
      <c r="G13" s="38" t="s">
        <v>53</v>
      </c>
      <c r="H13" s="11" t="s">
        <v>70</v>
      </c>
      <c r="I13" s="11" t="s">
        <v>8</v>
      </c>
      <c r="J13" s="1">
        <f t="shared" si="2"/>
      </c>
      <c r="K13" s="1">
        <f t="shared" si="1"/>
      </c>
      <c r="L13" s="12" t="str">
        <f aca="true" t="shared" si="3" ref="L13:T16">BL18</f>
        <v>Inglaterra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  <c r="T13" s="14">
        <f t="shared" si="3"/>
        <v>0</v>
      </c>
      <c r="W13" s="1" t="s">
        <v>9</v>
      </c>
      <c r="X13" s="1">
        <f>COUNT(Polónia_played)</f>
        <v>0</v>
      </c>
      <c r="Y13" s="1">
        <f>COUNTIF($J$8:$J$55,$W13)</f>
        <v>0</v>
      </c>
      <c r="Z13" s="1">
        <f>COUNTIF($K$8:$K$55,$W13)</f>
        <v>0</v>
      </c>
      <c r="AA13" s="1">
        <f>X13-Y13-Z13</f>
        <v>0</v>
      </c>
      <c r="AB13" s="1">
        <f>SUM(Polónia_played)</f>
        <v>0</v>
      </c>
      <c r="AC13" s="1">
        <f>SUM(Polónia_against)</f>
        <v>0</v>
      </c>
      <c r="AD13" s="1">
        <f>AB13-AC13</f>
        <v>0</v>
      </c>
      <c r="AE13" s="1">
        <f>Y13*3+AA13</f>
        <v>0</v>
      </c>
      <c r="AF13" s="1" t="str">
        <f>IF($AE13&gt;=$AE14,$W13,$W14)</f>
        <v>Polónia</v>
      </c>
      <c r="AG13" s="1">
        <f>VLOOKUP($AF13,$W11:$AE14,9,FALSE)</f>
        <v>0</v>
      </c>
      <c r="AH13" s="1" t="str">
        <f>IF($AG13&lt;=$AG11,$AF13,$AF11)</f>
        <v>Polónia</v>
      </c>
      <c r="AI13" s="1">
        <f>VLOOKUP($AH13,$W11:$AE14,9,FALSE)</f>
        <v>0</v>
      </c>
      <c r="AJ13" s="1" t="str">
        <f>IF($AI13&lt;=$AI12,$AH13,$AH12)</f>
        <v>Polónia</v>
      </c>
      <c r="AK13" s="1">
        <f>VLOOKUP($AJ13,$W11:$AE14,9,FALSE)</f>
        <v>0</v>
      </c>
      <c r="AL13" s="1">
        <f>VLOOKUP($AJ13,$W11:$AE14,8,FALSE)</f>
        <v>0</v>
      </c>
      <c r="AM13" s="1" t="str">
        <f>IF(AND($AK13=$AK14,$AL14&gt;$AL13),$AJ14,$AJ13)</f>
        <v>Polónia</v>
      </c>
      <c r="AN13" s="1">
        <f>VLOOKUP($AM13,$W11:$AE14,9,FALSE)</f>
        <v>0</v>
      </c>
      <c r="AO13" s="1">
        <f>VLOOKUP($AM13,$W11:$AE14,8,FALSE)</f>
        <v>0</v>
      </c>
      <c r="AP13" s="1" t="str">
        <f>IF(AND($AN11=$AN13,$AO13&gt;$AO11),$AM11,$AM13)</f>
        <v>Polónia</v>
      </c>
      <c r="AQ13" s="1">
        <f>VLOOKUP($AP13,$W11:$AE14,9,FALSE)</f>
        <v>0</v>
      </c>
      <c r="AR13" s="1">
        <f>VLOOKUP($AP13,$W11:$AE14,8,FALSE)</f>
        <v>0</v>
      </c>
      <c r="AS13" s="1" t="str">
        <f>IF(AND($AQ12=$AQ13,$AR13&gt;$AR12),$AP12,$AP13)</f>
        <v>Polónia</v>
      </c>
      <c r="AT13" s="1">
        <f>VLOOKUP($AS13,$W11:$AE14,9,FALSE)</f>
        <v>0</v>
      </c>
      <c r="AU13" s="1">
        <f>VLOOKUP($AS13,$W11:$AE14,8,FALSE)</f>
        <v>0</v>
      </c>
      <c r="AV13" s="1">
        <f>VLOOKUP($AS13,$W11:$AE14,6,FALSE)</f>
        <v>0</v>
      </c>
      <c r="AW13" s="1" t="str">
        <f>IF(AND($AT13=$AT14,$AU13=$AU14,$AV14&gt;$AV13),$AS14,$AS13)</f>
        <v>Polónia</v>
      </c>
      <c r="AX13" s="1">
        <f>VLOOKUP($AW13,$W11:$AE14,9,FALSE)</f>
        <v>0</v>
      </c>
      <c r="AY13" s="1">
        <f>VLOOKUP($AW13,$W11:$AE14,8,FALSE)</f>
        <v>0</v>
      </c>
      <c r="AZ13" s="1">
        <f>VLOOKUP($AW13,$W11:$AE14,6,FALSE)</f>
        <v>0</v>
      </c>
      <c r="BA13" s="1" t="str">
        <f>IF(AND($AX11=$AX13,$AY11=$AY13,$AZ12&gt;$AZ11),$AW11,$AW13)</f>
        <v>Polónia</v>
      </c>
      <c r="BB13" s="1">
        <f>VLOOKUP($BA13,$W11:$AE14,9,FALSE)</f>
        <v>0</v>
      </c>
      <c r="BC13" s="1">
        <f>VLOOKUP($BA13,$W11:$AE14,8,FALSE)</f>
        <v>0</v>
      </c>
      <c r="BD13" s="1">
        <f>VLOOKUP($BA13,$W11:$AE14,6,FALSE)</f>
        <v>0</v>
      </c>
      <c r="BE13" s="1" t="str">
        <f>IF(AND($BB12=$BB13,$BC12=$BC13,$BD13&gt;$BD12),$BA12,$BA13)</f>
        <v>Polónia</v>
      </c>
      <c r="BF13" s="1">
        <f>VLOOKUP($BE13,$W11:$AE14,9,FALSE)</f>
        <v>0</v>
      </c>
      <c r="BG13" s="1">
        <f>VLOOKUP($BE13,$W11:$AE14,8,FALSE)</f>
        <v>0</v>
      </c>
      <c r="BH13" s="1">
        <f>VLOOKUP($BE13,$W11:$AE14,6,FALSE)</f>
        <v>0</v>
      </c>
      <c r="BL13" s="1" t="str">
        <f>BE13</f>
        <v>Polónia</v>
      </c>
      <c r="BM13" s="1">
        <f>VLOOKUP($BL13,$W11:$AE14,2,FALSE)</f>
        <v>0</v>
      </c>
      <c r="BN13" s="1">
        <f>VLOOKUP($BL13,$W11:$AE14,3,FALSE)</f>
        <v>0</v>
      </c>
      <c r="BO13" s="1">
        <f>VLOOKUP($BL13,$W11:$AE14,4,FALSE)</f>
        <v>0</v>
      </c>
      <c r="BP13" s="1">
        <f>VLOOKUP($BL13,$W11:$AE14,5,FALSE)</f>
        <v>0</v>
      </c>
      <c r="BQ13" s="1">
        <f>VLOOKUP($BL13,$W11:$AE14,6,FALSE)</f>
        <v>0</v>
      </c>
      <c r="BR13" s="1">
        <f>VLOOKUP($BL13,$W11:$AE14,7,FALSE)</f>
        <v>0</v>
      </c>
      <c r="BS13" s="1">
        <f>VLOOKUP($BL13,$W11:$AE14,8,FALSE)</f>
        <v>0</v>
      </c>
      <c r="BT13" s="1">
        <f>VLOOKUP($BL13,$W11:$AE14,9,FALSE)</f>
        <v>0</v>
      </c>
    </row>
    <row r="14" spans="1:72" ht="15" customHeight="1">
      <c r="A14" s="11">
        <v>7</v>
      </c>
      <c r="B14" s="32">
        <v>38879</v>
      </c>
      <c r="C14" s="33">
        <v>0.7083333333333334</v>
      </c>
      <c r="D14" s="35" t="s">
        <v>19</v>
      </c>
      <c r="E14" s="26"/>
      <c r="F14" s="26"/>
      <c r="G14" s="38" t="s">
        <v>54</v>
      </c>
      <c r="H14" s="34" t="s">
        <v>72</v>
      </c>
      <c r="I14" s="11" t="s">
        <v>11</v>
      </c>
      <c r="J14" s="1">
        <f t="shared" si="2"/>
      </c>
      <c r="K14" s="1">
        <f t="shared" si="1"/>
      </c>
      <c r="L14" s="15" t="str">
        <f t="shared" si="3"/>
        <v>Paraguai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0</v>
      </c>
      <c r="S14" s="11">
        <f t="shared" si="3"/>
        <v>0</v>
      </c>
      <c r="T14" s="16">
        <f t="shared" si="3"/>
        <v>0</v>
      </c>
      <c r="W14" s="1" t="s">
        <v>21</v>
      </c>
      <c r="X14" s="1">
        <f>COUNT(Equador_played)</f>
        <v>0</v>
      </c>
      <c r="Y14" s="1">
        <f>COUNTIF($J$8:$J$55,$W14)</f>
        <v>0</v>
      </c>
      <c r="Z14" s="1">
        <f>COUNTIF($K$8:$K$55,$W14)</f>
        <v>0</v>
      </c>
      <c r="AA14" s="1">
        <f>X14-Y14-Z14</f>
        <v>0</v>
      </c>
      <c r="AB14" s="1">
        <f>SUM(Equador_played)</f>
        <v>0</v>
      </c>
      <c r="AC14" s="1">
        <f>SUM(Equador_against)</f>
        <v>0</v>
      </c>
      <c r="AD14" s="1">
        <f>AB14-AC14</f>
        <v>0</v>
      </c>
      <c r="AE14" s="1">
        <f>Y14*3+AA14</f>
        <v>0</v>
      </c>
      <c r="AF14" s="1" t="str">
        <f>IF($AE14&lt;=$AE13,$W14,$W13)</f>
        <v>Equador</v>
      </c>
      <c r="AG14" s="1">
        <f>VLOOKUP($AF14,$W11:$AE14,9,FALSE)</f>
        <v>0</v>
      </c>
      <c r="AH14" s="1" t="str">
        <f>IF(AG14&lt;=AG12,AF14,AF12)</f>
        <v>Equador</v>
      </c>
      <c r="AI14" s="1">
        <f>VLOOKUP($AH14,$W11:$AE14,9,FALSE)</f>
        <v>0</v>
      </c>
      <c r="AJ14" s="1" t="str">
        <f>IF($AI14&lt;=$AI11,$AH14,$AH11)</f>
        <v>Equador</v>
      </c>
      <c r="AK14" s="1">
        <f>VLOOKUP($AJ14,$W11:$AE14,9,FALSE)</f>
        <v>0</v>
      </c>
      <c r="AL14" s="1">
        <f>VLOOKUP($AJ14,$W11:$AE14,8,FALSE)</f>
        <v>0</v>
      </c>
      <c r="AM14" s="1" t="str">
        <f>IF(AND($AK13=$AK14,$AL14&gt;$AL13),$AJ13,$AJ14)</f>
        <v>Equador</v>
      </c>
      <c r="AN14" s="1">
        <f>VLOOKUP($AM14,$W11:$AE14,9,FALSE)</f>
        <v>0</v>
      </c>
      <c r="AO14" s="1">
        <f>VLOOKUP($AM14,$W11:$AE14,8,FALSE)</f>
        <v>0</v>
      </c>
      <c r="AP14" s="1" t="str">
        <f>IF(AND($AN12=$AN14,$AO14&gt;$AO12),$AM12,$AM14)</f>
        <v>Equador</v>
      </c>
      <c r="AQ14" s="1">
        <f>VLOOKUP($AP14,$W11:$AE14,9,FALSE)</f>
        <v>0</v>
      </c>
      <c r="AR14" s="1">
        <f>VLOOKUP($AP14,$W11:$AE14,8,FALSE)</f>
        <v>0</v>
      </c>
      <c r="AS14" s="1" t="str">
        <f>IF(AND($AQ11=$AQ14,$AR14&gt;$AR11),$AP11,$AP14)</f>
        <v>Equador</v>
      </c>
      <c r="AT14" s="1">
        <f>VLOOKUP($AS14,$W11:$AE14,9,FALSE)</f>
        <v>0</v>
      </c>
      <c r="AU14" s="1">
        <f>VLOOKUP($AS14,$W11:$AE14,8,FALSE)</f>
        <v>0</v>
      </c>
      <c r="AV14" s="1">
        <f>VLOOKUP($AS14,$W11:$AE14,6,FALSE)</f>
        <v>0</v>
      </c>
      <c r="AW14" s="1" t="str">
        <f>IF(AND($AT13=$AT14,$AU13=$AU14,$AV14&gt;$AV13),$AS13,$AS14)</f>
        <v>Equador</v>
      </c>
      <c r="AX14" s="1">
        <f>VLOOKUP($AW14,$W11:$AE14,9,FALSE)</f>
        <v>0</v>
      </c>
      <c r="AY14" s="1">
        <f>VLOOKUP($AW14,$W11:$AE14,8,FALSE)</f>
        <v>0</v>
      </c>
      <c r="AZ14" s="1">
        <f>VLOOKUP($AW14,$W11:$AE14,6,FALSE)</f>
        <v>0</v>
      </c>
      <c r="BA14" s="1" t="str">
        <f>IF(AND($AX12=$AX14,$AY12=$AY14,$AZ14&gt;$AZ12),$AW12,$AW14)</f>
        <v>Equador</v>
      </c>
      <c r="BB14" s="1">
        <f>VLOOKUP($BA14,$W11:$AE14,9,FALSE)</f>
        <v>0</v>
      </c>
      <c r="BC14" s="1">
        <f>VLOOKUP($BA14,$W11:$AE14,8,FALSE)</f>
        <v>0</v>
      </c>
      <c r="BD14" s="1">
        <f>VLOOKUP($BA14,$W11:$AE14,6,FALSE)</f>
        <v>0</v>
      </c>
      <c r="BE14" s="1" t="str">
        <f>IF(AND($BB11=$BB14,$BC11=$BC14,$BD14&gt;$BD11),$BA11,$BA14)</f>
        <v>Equador</v>
      </c>
      <c r="BF14" s="1">
        <f>VLOOKUP($BE14,$W11:$AE14,9,FALSE)</f>
        <v>0</v>
      </c>
      <c r="BG14" s="1">
        <f>VLOOKUP($BE14,$W11:$AE14,8,FALSE)</f>
        <v>0</v>
      </c>
      <c r="BH14" s="1">
        <f>VLOOKUP($BE14,$W11:$AE14,6,FALSE)</f>
        <v>0</v>
      </c>
      <c r="BL14" s="1" t="str">
        <f>BE14</f>
        <v>Equador</v>
      </c>
      <c r="BM14" s="1">
        <f>VLOOKUP($BL14,$W11:$AE14,2,FALSE)</f>
        <v>0</v>
      </c>
      <c r="BN14" s="1">
        <f>VLOOKUP($BL14,$W11:$AE14,3,FALSE)</f>
        <v>0</v>
      </c>
      <c r="BO14" s="1">
        <f>VLOOKUP($BL14,$W11:$AE14,4,FALSE)</f>
        <v>0</v>
      </c>
      <c r="BP14" s="1">
        <f>VLOOKUP($BL14,$W11:$AE14,5,FALSE)</f>
        <v>0</v>
      </c>
      <c r="BQ14" s="1">
        <f>VLOOKUP($BL14,$W11:$AE14,6,FALSE)</f>
        <v>0</v>
      </c>
      <c r="BR14" s="1">
        <f>VLOOKUP($BL14,$W11:$AE14,7,FALSE)</f>
        <v>0</v>
      </c>
      <c r="BS14" s="1">
        <f>VLOOKUP($BL14,$W11:$AE14,8,FALSE)</f>
        <v>0</v>
      </c>
      <c r="BT14" s="1">
        <f>VLOOKUP($BL14,$W11:$AE14,9,FALSE)</f>
        <v>0</v>
      </c>
    </row>
    <row r="15" spans="1:20" ht="15" customHeight="1">
      <c r="A15" s="11">
        <v>8</v>
      </c>
      <c r="B15" s="32">
        <v>38879</v>
      </c>
      <c r="C15" s="33">
        <v>0.8333333333333334</v>
      </c>
      <c r="D15" s="35" t="s">
        <v>55</v>
      </c>
      <c r="E15" s="26"/>
      <c r="F15" s="26"/>
      <c r="G15" s="38" t="s">
        <v>10</v>
      </c>
      <c r="H15" s="34" t="s">
        <v>73</v>
      </c>
      <c r="I15" s="11" t="s">
        <v>11</v>
      </c>
      <c r="J15" s="1">
        <f t="shared" si="2"/>
      </c>
      <c r="K15" s="1">
        <f t="shared" si="1"/>
      </c>
      <c r="L15" s="15" t="str">
        <f t="shared" si="3"/>
        <v>T.Tobago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3"/>
        <v>0</v>
      </c>
      <c r="R15" s="11">
        <f t="shared" si="3"/>
        <v>0</v>
      </c>
      <c r="S15" s="11">
        <f t="shared" si="3"/>
        <v>0</v>
      </c>
      <c r="T15" s="16">
        <f t="shared" si="3"/>
        <v>0</v>
      </c>
    </row>
    <row r="16" spans="1:23" ht="15" customHeight="1">
      <c r="A16" s="11">
        <v>9</v>
      </c>
      <c r="B16" s="32">
        <v>38880</v>
      </c>
      <c r="C16" s="33">
        <v>0.8333333333333334</v>
      </c>
      <c r="D16" s="35" t="s">
        <v>20</v>
      </c>
      <c r="E16" s="26"/>
      <c r="F16" s="26"/>
      <c r="G16" s="38" t="s">
        <v>56</v>
      </c>
      <c r="H16" s="11" t="s">
        <v>74</v>
      </c>
      <c r="I16" s="11" t="s">
        <v>13</v>
      </c>
      <c r="J16" s="1">
        <f t="shared" si="2"/>
      </c>
      <c r="K16" s="1">
        <f t="shared" si="1"/>
      </c>
      <c r="L16" s="17" t="str">
        <f t="shared" si="3"/>
        <v>Suécia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9">
        <f t="shared" si="3"/>
        <v>0</v>
      </c>
      <c r="W16" s="1" t="s">
        <v>30</v>
      </c>
    </row>
    <row r="17" spans="1:30" ht="15" customHeight="1">
      <c r="A17" s="11">
        <v>10</v>
      </c>
      <c r="B17" s="32">
        <v>38880</v>
      </c>
      <c r="C17" s="33">
        <v>0.7083333333333334</v>
      </c>
      <c r="D17" s="35" t="s">
        <v>57</v>
      </c>
      <c r="E17" s="26"/>
      <c r="F17" s="26"/>
      <c r="G17" s="38" t="s">
        <v>58</v>
      </c>
      <c r="H17" s="11" t="s">
        <v>67</v>
      </c>
      <c r="I17" s="11" t="s">
        <v>13</v>
      </c>
      <c r="J17" s="1">
        <f t="shared" si="2"/>
      </c>
      <c r="K17" s="1">
        <f t="shared" si="1"/>
      </c>
      <c r="X17" s="1" t="s">
        <v>37</v>
      </c>
      <c r="Y17" s="1" t="s">
        <v>38</v>
      </c>
      <c r="Z17" s="1" t="s">
        <v>11</v>
      </c>
      <c r="AA17" s="1" t="s">
        <v>13</v>
      </c>
      <c r="AB17" s="1" t="s">
        <v>39</v>
      </c>
      <c r="AC17" s="1" t="s">
        <v>40</v>
      </c>
      <c r="AD17" s="1" t="s">
        <v>41</v>
      </c>
    </row>
    <row r="18" spans="1:72" ht="15" customHeight="1">
      <c r="A18" s="11">
        <v>11</v>
      </c>
      <c r="B18" s="32">
        <v>38881</v>
      </c>
      <c r="C18" s="33">
        <v>0.8333333333333334</v>
      </c>
      <c r="D18" s="35" t="s">
        <v>7</v>
      </c>
      <c r="E18" s="26"/>
      <c r="F18" s="26"/>
      <c r="G18" s="38" t="s">
        <v>18</v>
      </c>
      <c r="H18" s="11" t="s">
        <v>75</v>
      </c>
      <c r="I18" s="11" t="s">
        <v>17</v>
      </c>
      <c r="J18" s="1">
        <f t="shared" si="2"/>
      </c>
      <c r="K18" s="1">
        <f t="shared" si="1"/>
      </c>
      <c r="L18" s="46" t="s">
        <v>31</v>
      </c>
      <c r="M18" s="22"/>
      <c r="N18" s="22"/>
      <c r="O18" s="22"/>
      <c r="P18" s="22"/>
      <c r="Q18" s="22"/>
      <c r="R18" s="22"/>
      <c r="S18" s="22"/>
      <c r="T18" s="23"/>
      <c r="W18" s="1" t="s">
        <v>14</v>
      </c>
      <c r="X18" s="1">
        <f>COUNT(Inglaterra_played)</f>
        <v>0</v>
      </c>
      <c r="Y18" s="1">
        <f>COUNTIF($J$8:$J$55,$W18)</f>
        <v>0</v>
      </c>
      <c r="Z18" s="1">
        <f>COUNTIF($K$8:$K$55,$W18)</f>
        <v>0</v>
      </c>
      <c r="AA18" s="1">
        <f>X18-Y18-Z18</f>
        <v>0</v>
      </c>
      <c r="AB18" s="1">
        <f>SUM(Inglaterra_played)</f>
        <v>0</v>
      </c>
      <c r="AC18" s="1">
        <f>SUM(Inglaterra_against)</f>
        <v>0</v>
      </c>
      <c r="AD18" s="1">
        <f>AB18-AC18</f>
        <v>0</v>
      </c>
      <c r="AE18" s="1">
        <f>Y18*3+AA18</f>
        <v>0</v>
      </c>
      <c r="AF18" s="1" t="str">
        <f>IF($AE18&gt;=$AE19,$W18,$W19)</f>
        <v>Inglaterra</v>
      </c>
      <c r="AG18" s="1">
        <f>VLOOKUP($AF18,$W18:$AE21,9,FALSE)</f>
        <v>0</v>
      </c>
      <c r="AH18" s="1" t="str">
        <f>IF($AG18&gt;=$AG20,$AF18,$AF20)</f>
        <v>Inglaterra</v>
      </c>
      <c r="AI18" s="1">
        <f>VLOOKUP($AH18,$W18:$AE21,9,FALSE)</f>
        <v>0</v>
      </c>
      <c r="AJ18" s="1" t="str">
        <f>IF($AI18&gt;=$AI21,$AH18,$AH21)</f>
        <v>Inglaterra</v>
      </c>
      <c r="AK18" s="1">
        <f>VLOOKUP($AJ18,$W18:$AE21,9,FALSE)</f>
        <v>0</v>
      </c>
      <c r="AL18" s="1">
        <f>VLOOKUP($AJ18,$W18:$AE21,8,FALSE)</f>
        <v>0</v>
      </c>
      <c r="AM18" s="1" t="str">
        <f>IF(AND($AK18=$AK19,$AL19&gt;$AL18),$AJ19,$AJ18)</f>
        <v>Inglaterra</v>
      </c>
      <c r="AN18" s="1">
        <f>VLOOKUP($AM18,$W18:$AE21,9,FALSE)</f>
        <v>0</v>
      </c>
      <c r="AO18" s="1">
        <f>VLOOKUP($AM18,$W18:$AE21,8,FALSE)</f>
        <v>0</v>
      </c>
      <c r="AP18" s="1" t="str">
        <f>IF(AND($AN18=$AN20,$AO20&gt;$AO18),$AM20,$AM18)</f>
        <v>Inglaterra</v>
      </c>
      <c r="AQ18" s="1">
        <f>VLOOKUP($AP18,$W18:$AE21,9,FALSE)</f>
        <v>0</v>
      </c>
      <c r="AR18" s="1">
        <f>VLOOKUP($AP18,$W18:$AE21,8,FALSE)</f>
        <v>0</v>
      </c>
      <c r="AS18" s="1" t="str">
        <f>IF(AND($AQ18=$AQ21,$AR21&gt;$AR18),$AP21,$AP18)</f>
        <v>Inglaterra</v>
      </c>
      <c r="AT18" s="1">
        <f>VLOOKUP($AS18,$W18:$AE21,9,FALSE)</f>
        <v>0</v>
      </c>
      <c r="AU18" s="1">
        <f>VLOOKUP($AS18,$W18:$AE21,8,FALSE)</f>
        <v>0</v>
      </c>
      <c r="AV18" s="1">
        <f>VLOOKUP($AS18,$W18:$AE21,6,FALSE)</f>
        <v>0</v>
      </c>
      <c r="AW18" s="1" t="str">
        <f>IF(AND($AT18=$AT19,$AU18=$AU19,$AV19&gt;$AV18),$AS19,$AS18)</f>
        <v>Inglaterra</v>
      </c>
      <c r="AX18" s="1">
        <f>VLOOKUP($AW18,$W18:$AE21,9,FALSE)</f>
        <v>0</v>
      </c>
      <c r="AY18" s="1">
        <f>VLOOKUP($AW18,$W18:$AE21,8,FALSE)</f>
        <v>0</v>
      </c>
      <c r="AZ18" s="1">
        <f>VLOOKUP($AW18,$W18:$AE21,6,FALSE)</f>
        <v>0</v>
      </c>
      <c r="BA18" s="1" t="str">
        <f>IF(AND($AX18=$AX20,$AY18=$AY20,$AZ20&gt;$AZ18),$AW20,$AW18)</f>
        <v>Inglaterra</v>
      </c>
      <c r="BB18" s="1">
        <f>VLOOKUP($BA18,$W18:$AE21,9,FALSE)</f>
        <v>0</v>
      </c>
      <c r="BC18" s="1">
        <f>VLOOKUP($BA18,$W18:$AE21,8,FALSE)</f>
        <v>0</v>
      </c>
      <c r="BD18" s="1">
        <f>VLOOKUP($BA18,$W18:$AE21,6,FALSE)</f>
        <v>0</v>
      </c>
      <c r="BE18" s="1" t="str">
        <f>IF(AND($BB18=$BB21,$BC18=$BC21,$BD21&gt;$BD18),$BA21,$BA18)</f>
        <v>Inglaterra</v>
      </c>
      <c r="BF18" s="1">
        <f>VLOOKUP($BE18,$W18:$AE21,9,FALSE)</f>
        <v>0</v>
      </c>
      <c r="BG18" s="1">
        <f>VLOOKUP($BE18,$W18:$AE21,8,FALSE)</f>
        <v>0</v>
      </c>
      <c r="BH18" s="1">
        <f>VLOOKUP($BE18,$W18:$AE21,6,FALSE)</f>
        <v>0</v>
      </c>
      <c r="BL18" s="1" t="str">
        <f>BE18</f>
        <v>Inglaterra</v>
      </c>
      <c r="BM18" s="1">
        <f>VLOOKUP($BL18,$W18:$AE21,2,FALSE)</f>
        <v>0</v>
      </c>
      <c r="BN18" s="1">
        <f>VLOOKUP($BL18,$W18:$AE21,3,FALSE)</f>
        <v>0</v>
      </c>
      <c r="BO18" s="1">
        <f>VLOOKUP($BL18,$W18:$AE21,4,FALSE)</f>
        <v>0</v>
      </c>
      <c r="BP18" s="1">
        <f>VLOOKUP($BL18,$W18:$AE21,5,FALSE)</f>
        <v>0</v>
      </c>
      <c r="BQ18" s="1">
        <f>VLOOKUP($BL18,$W18:$AE21,6,FALSE)</f>
        <v>0</v>
      </c>
      <c r="BR18" s="1">
        <f>VLOOKUP($BL18,$W18:$AE21,7,FALSE)</f>
        <v>0</v>
      </c>
      <c r="BS18" s="1">
        <f>VLOOKUP($BL18,$W18:$AE21,8,FALSE)</f>
        <v>0</v>
      </c>
      <c r="BT18" s="1">
        <f>VLOOKUP($BL18,$W18:$AE21,9,FALSE)</f>
        <v>0</v>
      </c>
    </row>
    <row r="19" spans="1:72" ht="15" customHeight="1">
      <c r="A19" s="11">
        <v>12</v>
      </c>
      <c r="B19" s="32">
        <v>38880</v>
      </c>
      <c r="C19" s="33">
        <v>0.5833333333333334</v>
      </c>
      <c r="D19" s="35" t="s">
        <v>59</v>
      </c>
      <c r="E19" s="26"/>
      <c r="F19" s="26"/>
      <c r="G19" s="38" t="s">
        <v>24</v>
      </c>
      <c r="H19" s="34" t="s">
        <v>78</v>
      </c>
      <c r="I19" s="11" t="s">
        <v>17</v>
      </c>
      <c r="J19" s="1">
        <f t="shared" si="2"/>
      </c>
      <c r="K19" s="1">
        <f t="shared" si="1"/>
      </c>
      <c r="L19" s="47"/>
      <c r="M19" s="20" t="s">
        <v>43</v>
      </c>
      <c r="N19" s="20" t="s">
        <v>38</v>
      </c>
      <c r="O19" s="20" t="s">
        <v>11</v>
      </c>
      <c r="P19" s="20" t="s">
        <v>13</v>
      </c>
      <c r="Q19" s="20" t="s">
        <v>39</v>
      </c>
      <c r="R19" s="20" t="s">
        <v>40</v>
      </c>
      <c r="S19" s="20" t="s">
        <v>41</v>
      </c>
      <c r="T19" s="21" t="s">
        <v>44</v>
      </c>
      <c r="W19" s="1" t="s">
        <v>4</v>
      </c>
      <c r="X19" s="1">
        <f>COUNT(Paraguai_played)</f>
        <v>0</v>
      </c>
      <c r="Y19" s="1">
        <f>COUNTIF($J$8:$J$55,$W19)</f>
        <v>0</v>
      </c>
      <c r="Z19" s="1">
        <f>COUNTIF($K$8:$K$55,$W19)</f>
        <v>0</v>
      </c>
      <c r="AA19" s="1">
        <f>X19-Y19-Z19</f>
        <v>0</v>
      </c>
      <c r="AB19" s="1">
        <f>SUM(Paraguai_played)</f>
        <v>0</v>
      </c>
      <c r="AC19" s="1">
        <f>SUM(Paraguai_against)</f>
        <v>0</v>
      </c>
      <c r="AD19" s="1">
        <f>AB19-AC19</f>
        <v>0</v>
      </c>
      <c r="AE19" s="1">
        <f>Y19*3+AA19</f>
        <v>0</v>
      </c>
      <c r="AF19" s="1" t="str">
        <f>IF($AE19&lt;=$AE18,$W19,$W18)</f>
        <v>Paraguai</v>
      </c>
      <c r="AG19" s="1">
        <f>VLOOKUP($AF19,$W18:$AE21,9,FALSE)</f>
        <v>0</v>
      </c>
      <c r="AH19" s="1" t="str">
        <f>IF(AG19&gt;=AG21,AF19,AF21)</f>
        <v>Paraguai</v>
      </c>
      <c r="AI19" s="1">
        <f>VLOOKUP($AH19,$W18:$AE21,9,FALSE)</f>
        <v>0</v>
      </c>
      <c r="AJ19" s="1" t="str">
        <f>IF($AI19&gt;=$AI20,$AH19,$AH20)</f>
        <v>Paraguai</v>
      </c>
      <c r="AK19" s="1">
        <f>VLOOKUP($AJ19,$W18:$AE21,9,FALSE)</f>
        <v>0</v>
      </c>
      <c r="AL19" s="1">
        <f>VLOOKUP($AJ19,$W18:$AE21,8,FALSE)</f>
        <v>0</v>
      </c>
      <c r="AM19" s="1" t="str">
        <f>IF(AND($AK18=$AK19,$AL19&gt;$AL18),$AJ18,$AJ19)</f>
        <v>Paraguai</v>
      </c>
      <c r="AN19" s="1">
        <f>VLOOKUP($AM19,$W18:$AE21,9,FALSE)</f>
        <v>0</v>
      </c>
      <c r="AO19" s="1">
        <f>VLOOKUP($AM19,$W18:$AE21,8,FALSE)</f>
        <v>0</v>
      </c>
      <c r="AP19" s="1" t="str">
        <f>IF(AND($AN19=$AN21,$AO21&gt;$AO19),$AM21,$AM19)</f>
        <v>Paraguai</v>
      </c>
      <c r="AQ19" s="1">
        <f>VLOOKUP($AP19,$W18:$AE21,9,FALSE)</f>
        <v>0</v>
      </c>
      <c r="AR19" s="1">
        <f>VLOOKUP($AP19,$W18:$AE21,8,FALSE)</f>
        <v>0</v>
      </c>
      <c r="AS19" s="1" t="str">
        <f>IF(AND($AQ19=$AQ20,$AR20&gt;$AR19),$AP20,$AP19)</f>
        <v>Paraguai</v>
      </c>
      <c r="AT19" s="1">
        <f>VLOOKUP($AS19,$W18:$AE21,9,FALSE)</f>
        <v>0</v>
      </c>
      <c r="AU19" s="1">
        <f>VLOOKUP($AS19,$W18:$AE21,8,FALSE)</f>
        <v>0</v>
      </c>
      <c r="AV19" s="1">
        <f>VLOOKUP($AS19,$W18:$AE21,6,FALSE)</f>
        <v>0</v>
      </c>
      <c r="AW19" s="1" t="str">
        <f>IF(AND($AT18=$AT19,$AU18=$AU19,$AV19&gt;$AV18),$AS18,$AS19)</f>
        <v>Paraguai</v>
      </c>
      <c r="AX19" s="1">
        <f>VLOOKUP($AW19,$W18:$AE21,9,FALSE)</f>
        <v>0</v>
      </c>
      <c r="AY19" s="1">
        <f>VLOOKUP($AW19,$W18:$AE21,8,FALSE)</f>
        <v>0</v>
      </c>
      <c r="AZ19" s="1">
        <f>VLOOKUP($AW19,$W18:$AE21,6,FALSE)</f>
        <v>0</v>
      </c>
      <c r="BA19" s="1" t="str">
        <f>IF(AND($AX19=$AX21,$AY19=$AY21,$AZ21&gt;$AZ19),$AW21,$AW19)</f>
        <v>Paraguai</v>
      </c>
      <c r="BB19" s="1">
        <f>VLOOKUP($BA19,$W18:$AE21,9,FALSE)</f>
        <v>0</v>
      </c>
      <c r="BC19" s="1">
        <f>VLOOKUP($BA19,$W18:$AE21,8,FALSE)</f>
        <v>0</v>
      </c>
      <c r="BD19" s="1">
        <f>VLOOKUP($BA19,$W18:$AE21,6,FALSE)</f>
        <v>0</v>
      </c>
      <c r="BE19" s="1" t="str">
        <f>IF(AND($BB19=$BB20,$BC19=$BC20,$BD20&gt;$BD19),$BA20,$BA19)</f>
        <v>Paraguai</v>
      </c>
      <c r="BF19" s="1">
        <f>VLOOKUP($BE19,$W18:$AE21,9,FALSE)</f>
        <v>0</v>
      </c>
      <c r="BG19" s="1">
        <f>VLOOKUP($BE19,$W18:$AE21,8,FALSE)</f>
        <v>0</v>
      </c>
      <c r="BH19" s="1">
        <f>VLOOKUP($BE19,$W18:$AE21,6,FALSE)</f>
        <v>0</v>
      </c>
      <c r="BL19" s="1" t="str">
        <f>BE19</f>
        <v>Paraguai</v>
      </c>
      <c r="BM19" s="1">
        <f>VLOOKUP($BL19,$W18:$AE21,2,FALSE)</f>
        <v>0</v>
      </c>
      <c r="BN19" s="1">
        <f>VLOOKUP($BL19,$W18:$AE21,3,FALSE)</f>
        <v>0</v>
      </c>
      <c r="BO19" s="1">
        <f>VLOOKUP($BL19,$W18:$AE21,4,FALSE)</f>
        <v>0</v>
      </c>
      <c r="BP19" s="1">
        <f>VLOOKUP($BL19,$W18:$AE21,5,FALSE)</f>
        <v>0</v>
      </c>
      <c r="BQ19" s="1">
        <f>VLOOKUP($BL19,$W18:$AE21,6,FALSE)</f>
        <v>0</v>
      </c>
      <c r="BR19" s="1">
        <f>VLOOKUP($BL19,$W18:$AE21,7,FALSE)</f>
        <v>0</v>
      </c>
      <c r="BS19" s="1">
        <f>VLOOKUP($BL19,$W18:$AE21,8,FALSE)</f>
        <v>0</v>
      </c>
      <c r="BT19" s="1">
        <f>VLOOKUP($BL19,$W18:$AE21,9,FALSE)</f>
        <v>0</v>
      </c>
    </row>
    <row r="20" spans="1:72" ht="15" customHeight="1">
      <c r="A20" s="11">
        <v>13</v>
      </c>
      <c r="B20" s="32">
        <v>38881</v>
      </c>
      <c r="C20" s="33">
        <v>0.7083333333333334</v>
      </c>
      <c r="D20" s="35" t="s">
        <v>2</v>
      </c>
      <c r="E20" s="26"/>
      <c r="F20" s="26"/>
      <c r="G20" s="38" t="s">
        <v>60</v>
      </c>
      <c r="H20" s="11" t="s">
        <v>76</v>
      </c>
      <c r="I20" s="11" t="s">
        <v>22</v>
      </c>
      <c r="J20" s="1">
        <f t="shared" si="2"/>
      </c>
      <c r="K20" s="1">
        <f t="shared" si="1"/>
      </c>
      <c r="L20" s="12" t="str">
        <f aca="true" t="shared" si="4" ref="L20:T23">BL25</f>
        <v>Argentina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3">
        <f t="shared" si="4"/>
        <v>0</v>
      </c>
      <c r="R20" s="13">
        <f t="shared" si="4"/>
        <v>0</v>
      </c>
      <c r="S20" s="13">
        <f t="shared" si="4"/>
        <v>0</v>
      </c>
      <c r="T20" s="14">
        <f t="shared" si="4"/>
        <v>0</v>
      </c>
      <c r="W20" s="3" t="s">
        <v>50</v>
      </c>
      <c r="X20" s="1">
        <f>COUNT(T.Tobago_played)</f>
        <v>0</v>
      </c>
      <c r="Y20" s="1">
        <f>COUNTIF($J$8:$J$55,$W20)</f>
        <v>0</v>
      </c>
      <c r="Z20" s="1">
        <f>COUNTIF($K$8:$K$55,$W20)</f>
        <v>0</v>
      </c>
      <c r="AA20" s="1">
        <f>X20-Y20-Z20</f>
        <v>0</v>
      </c>
      <c r="AB20" s="1">
        <f>SUM(T.Tobago_played)</f>
        <v>0</v>
      </c>
      <c r="AC20" s="1">
        <f>SUM(T.Tobago_against)</f>
        <v>0</v>
      </c>
      <c r="AD20" s="1">
        <f>AB20-AC20</f>
        <v>0</v>
      </c>
      <c r="AE20" s="1">
        <f>Y20*3+AA20</f>
        <v>0</v>
      </c>
      <c r="AF20" s="1" t="str">
        <f>IF($AE20&gt;=$AE21,$W20,$W21)</f>
        <v>T.Tobago</v>
      </c>
      <c r="AG20" s="1">
        <f>VLOOKUP($AF20,$W18:$AE21,9,FALSE)</f>
        <v>0</v>
      </c>
      <c r="AH20" s="1" t="str">
        <f>IF($AG20&lt;=$AG18,$AF20,$AF18)</f>
        <v>T.Tobago</v>
      </c>
      <c r="AI20" s="1">
        <f>VLOOKUP($AH20,$W18:$AE21,9,FALSE)</f>
        <v>0</v>
      </c>
      <c r="AJ20" s="1" t="str">
        <f>IF($AI20&lt;=$AI19,$AH20,$AH19)</f>
        <v>T.Tobago</v>
      </c>
      <c r="AK20" s="1">
        <f>VLOOKUP($AJ20,$W18:$AE21,9,FALSE)</f>
        <v>0</v>
      </c>
      <c r="AL20" s="1">
        <f>VLOOKUP($AJ20,$W18:$AE21,8,FALSE)</f>
        <v>0</v>
      </c>
      <c r="AM20" s="1" t="str">
        <f>IF(AND($AK20=$AK21,$AL21&gt;$AL20),$AJ21,$AJ20)</f>
        <v>T.Tobago</v>
      </c>
      <c r="AN20" s="1">
        <f>VLOOKUP($AM20,$W18:$AE21,9,FALSE)</f>
        <v>0</v>
      </c>
      <c r="AO20" s="1">
        <f>VLOOKUP($AM20,$W18:$AE21,8,FALSE)</f>
        <v>0</v>
      </c>
      <c r="AP20" s="1" t="str">
        <f>IF(AND($AN18=$AN20,$AO20&gt;$AO18),$AM18,$AM20)</f>
        <v>T.Tobago</v>
      </c>
      <c r="AQ20" s="1">
        <f>VLOOKUP($AP20,$W18:$AE21,9,FALSE)</f>
        <v>0</v>
      </c>
      <c r="AR20" s="1">
        <f>VLOOKUP($AP20,$W18:$AE21,8,FALSE)</f>
        <v>0</v>
      </c>
      <c r="AS20" s="1" t="str">
        <f>IF(AND($AQ19=$AQ20,$AR20&gt;$AR19),$AP19,$AP20)</f>
        <v>T.Tobago</v>
      </c>
      <c r="AT20" s="1">
        <f>VLOOKUP($AS20,$W18:$AE21,9,FALSE)</f>
        <v>0</v>
      </c>
      <c r="AU20" s="1">
        <f>VLOOKUP($AS20,$W18:$AE21,8,FALSE)</f>
        <v>0</v>
      </c>
      <c r="AV20" s="1">
        <f>VLOOKUP($AS20,$W18:$AE21,6,FALSE)</f>
        <v>0</v>
      </c>
      <c r="AW20" s="1" t="str">
        <f>IF(AND($AT20=$AT21,$AU20=$AU21,$AV21&gt;$AV20),$AS21,$AS20)</f>
        <v>T.Tobago</v>
      </c>
      <c r="AX20" s="1">
        <f>VLOOKUP($AW20,$W18:$AE21,9,FALSE)</f>
        <v>0</v>
      </c>
      <c r="AY20" s="1">
        <f>VLOOKUP($AW20,$W18:$AE21,8,FALSE)</f>
        <v>0</v>
      </c>
      <c r="AZ20" s="1">
        <f>VLOOKUP($AW20,$W18:$AE21,6,FALSE)</f>
        <v>0</v>
      </c>
      <c r="BA20" s="1" t="str">
        <f>IF(AND($AX18=$AX20,$AY18=$AY20,$AZ19&gt;$AZ18),$AW18,$AW20)</f>
        <v>T.Tobago</v>
      </c>
      <c r="BB20" s="1">
        <f>VLOOKUP($BA20,$W18:$AE21,9,FALSE)</f>
        <v>0</v>
      </c>
      <c r="BC20" s="1">
        <f>VLOOKUP($BA20,$W18:$AE21,8,FALSE)</f>
        <v>0</v>
      </c>
      <c r="BD20" s="1">
        <f>VLOOKUP($BA20,$W18:$AE21,6,FALSE)</f>
        <v>0</v>
      </c>
      <c r="BE20" s="1" t="str">
        <f>IF(AND($BB19=$BB20,$BC19=$BC20,$BD20&gt;$BD19),$BA19,$BA20)</f>
        <v>T.Tobago</v>
      </c>
      <c r="BF20" s="1">
        <f>VLOOKUP($BE20,$W18:$AE21,9,FALSE)</f>
        <v>0</v>
      </c>
      <c r="BG20" s="1">
        <f>VLOOKUP($BE20,$W18:$AE21,8,FALSE)</f>
        <v>0</v>
      </c>
      <c r="BH20" s="1">
        <f>VLOOKUP($BE20,$W18:$AE21,6,FALSE)</f>
        <v>0</v>
      </c>
      <c r="BL20" s="1" t="str">
        <f>BE20</f>
        <v>T.Tobago</v>
      </c>
      <c r="BM20" s="1">
        <f>VLOOKUP($BL20,$W18:$AE21,2,FALSE)</f>
        <v>0</v>
      </c>
      <c r="BN20" s="1">
        <f>VLOOKUP($BL20,$W18:$AE21,3,FALSE)</f>
        <v>0</v>
      </c>
      <c r="BO20" s="1">
        <f>VLOOKUP($BL20,$W18:$AE21,4,FALSE)</f>
        <v>0</v>
      </c>
      <c r="BP20" s="1">
        <f>VLOOKUP($BL20,$W18:$AE21,5,FALSE)</f>
        <v>0</v>
      </c>
      <c r="BQ20" s="1">
        <f>VLOOKUP($BL20,$W18:$AE21,6,FALSE)</f>
        <v>0</v>
      </c>
      <c r="BR20" s="1">
        <f>VLOOKUP($BL20,$W18:$AE21,7,FALSE)</f>
        <v>0</v>
      </c>
      <c r="BS20" s="1">
        <f>VLOOKUP($BL20,$W18:$AE21,8,FALSE)</f>
        <v>0</v>
      </c>
      <c r="BT20" s="1">
        <f>VLOOKUP($BL20,$W18:$AE21,9,FALSE)</f>
        <v>0</v>
      </c>
    </row>
    <row r="21" spans="1:72" ht="15" customHeight="1">
      <c r="A21" s="11">
        <v>14</v>
      </c>
      <c r="B21" s="32">
        <v>38881</v>
      </c>
      <c r="C21" s="33">
        <v>0.5833333333333334</v>
      </c>
      <c r="D21" s="35" t="s">
        <v>61</v>
      </c>
      <c r="E21" s="26"/>
      <c r="F21" s="26"/>
      <c r="G21" s="38" t="s">
        <v>62</v>
      </c>
      <c r="H21" s="11" t="s">
        <v>68</v>
      </c>
      <c r="I21" s="11" t="s">
        <v>22</v>
      </c>
      <c r="J21" s="1">
        <f t="shared" si="2"/>
      </c>
      <c r="K21" s="1">
        <f t="shared" si="1"/>
      </c>
      <c r="L21" s="15" t="str">
        <f t="shared" si="4"/>
        <v>C.Marfim</v>
      </c>
      <c r="M21" s="11">
        <f t="shared" si="4"/>
        <v>0</v>
      </c>
      <c r="N21" s="11">
        <f t="shared" si="4"/>
        <v>0</v>
      </c>
      <c r="O21" s="11">
        <f t="shared" si="4"/>
        <v>0</v>
      </c>
      <c r="P21" s="11">
        <f t="shared" si="4"/>
        <v>0</v>
      </c>
      <c r="Q21" s="11">
        <f t="shared" si="4"/>
        <v>0</v>
      </c>
      <c r="R21" s="11">
        <f t="shared" si="4"/>
        <v>0</v>
      </c>
      <c r="S21" s="11">
        <f t="shared" si="4"/>
        <v>0</v>
      </c>
      <c r="T21" s="16">
        <f t="shared" si="4"/>
        <v>0</v>
      </c>
      <c r="W21" s="1" t="s">
        <v>16</v>
      </c>
      <c r="X21" s="1">
        <f>COUNT(Suécia_played)</f>
        <v>0</v>
      </c>
      <c r="Y21" s="1">
        <f>COUNTIF($J$8:$J$55,$W21)</f>
        <v>0</v>
      </c>
      <c r="Z21" s="1">
        <f>COUNTIF($K$8:$K$55,$W21)</f>
        <v>0</v>
      </c>
      <c r="AA21" s="1">
        <f>X21-Y21-Z21</f>
        <v>0</v>
      </c>
      <c r="AB21" s="1">
        <f>SUM(Suécia_played)</f>
        <v>0</v>
      </c>
      <c r="AC21" s="1">
        <f>SUM(Suécia_against)</f>
        <v>0</v>
      </c>
      <c r="AD21" s="1">
        <f>AB21-AC21</f>
        <v>0</v>
      </c>
      <c r="AE21" s="1">
        <f>Y21*3+AA21</f>
        <v>0</v>
      </c>
      <c r="AF21" s="1" t="str">
        <f>IF($AE21&lt;=$AE20,$W21,$W20)</f>
        <v>Suécia</v>
      </c>
      <c r="AG21" s="1">
        <f>VLOOKUP($AF21,$W18:$AE21,9,FALSE)</f>
        <v>0</v>
      </c>
      <c r="AH21" s="1" t="str">
        <f>IF(AG21&lt;=AG19,AF21,AF19)</f>
        <v>Suécia</v>
      </c>
      <c r="AI21" s="1">
        <f>VLOOKUP($AH21,$W18:$AE21,9,FALSE)</f>
        <v>0</v>
      </c>
      <c r="AJ21" s="1" t="str">
        <f>IF($AI21&lt;=$AI18,$AH21,$AH18)</f>
        <v>Suécia</v>
      </c>
      <c r="AK21" s="1">
        <f>VLOOKUP($AJ21,$W18:$AE21,9,FALSE)</f>
        <v>0</v>
      </c>
      <c r="AL21" s="1">
        <f>VLOOKUP($AJ21,$W18:$AE21,8,FALSE)</f>
        <v>0</v>
      </c>
      <c r="AM21" s="1" t="str">
        <f>IF(AND($AK20=$AK21,$AL21&gt;$AL20),$AJ20,$AJ21)</f>
        <v>Suécia</v>
      </c>
      <c r="AN21" s="1">
        <f>VLOOKUP($AM21,$W18:$AE21,9,FALSE)</f>
        <v>0</v>
      </c>
      <c r="AO21" s="1">
        <f>VLOOKUP($AM21,$W18:$AE21,8,FALSE)</f>
        <v>0</v>
      </c>
      <c r="AP21" s="1" t="str">
        <f>IF(AND($AN19=$AN21,$AO21&gt;$AO19),$AM19,$AM21)</f>
        <v>Suécia</v>
      </c>
      <c r="AQ21" s="1">
        <f>VLOOKUP($AP21,$W18:$AE21,9,FALSE)</f>
        <v>0</v>
      </c>
      <c r="AR21" s="1">
        <f>VLOOKUP($AP21,$W18:$AE21,8,FALSE)</f>
        <v>0</v>
      </c>
      <c r="AS21" s="1" t="str">
        <f>IF(AND($AQ18=$AQ21,$AR21&gt;$AR18),$AP18,$AP21)</f>
        <v>Suécia</v>
      </c>
      <c r="AT21" s="1">
        <f>VLOOKUP($AS21,$W18:$AE21,9,FALSE)</f>
        <v>0</v>
      </c>
      <c r="AU21" s="1">
        <f>VLOOKUP($AS21,$W18:$AE21,8,FALSE)</f>
        <v>0</v>
      </c>
      <c r="AV21" s="1">
        <f>VLOOKUP($AS21,$W18:$AE21,6,FALSE)</f>
        <v>0</v>
      </c>
      <c r="AW21" s="1" t="str">
        <f>IF(AND($AT20=$AT21,$AU20=$AU21,$AV21&gt;$AV20),$AS20,$AS21)</f>
        <v>Suécia</v>
      </c>
      <c r="AX21" s="1">
        <f>VLOOKUP($AW21,$W18:$AE21,9,FALSE)</f>
        <v>0</v>
      </c>
      <c r="AY21" s="1">
        <f>VLOOKUP($AW21,$W18:$AE21,8,FALSE)</f>
        <v>0</v>
      </c>
      <c r="AZ21" s="1">
        <f>VLOOKUP($AW21,$W18:$AE21,6,FALSE)</f>
        <v>0</v>
      </c>
      <c r="BA21" s="1" t="str">
        <f>IF(AND($AX19=$AX21,$AY19=$AY21,$AZ21&gt;$AZ19),$AW19,$AW21)</f>
        <v>Suécia</v>
      </c>
      <c r="BB21" s="1">
        <f>VLOOKUP($BA21,$W18:$AE21,9,FALSE)</f>
        <v>0</v>
      </c>
      <c r="BC21" s="1">
        <f>VLOOKUP($BA21,$W18:$AE21,8,FALSE)</f>
        <v>0</v>
      </c>
      <c r="BD21" s="1">
        <f>VLOOKUP($BA21,$W18:$AE21,6,FALSE)</f>
        <v>0</v>
      </c>
      <c r="BE21" s="1" t="str">
        <f>IF(AND($BB18=$BB21,$BC18=$BC21,$BD21&gt;$BD18),$BA18,$BA21)</f>
        <v>Suécia</v>
      </c>
      <c r="BF21" s="1">
        <f>VLOOKUP($BE21,$W18:$AE21,9,FALSE)</f>
        <v>0</v>
      </c>
      <c r="BG21" s="1">
        <f>VLOOKUP($BE21,$W18:$AE21,8,FALSE)</f>
        <v>0</v>
      </c>
      <c r="BH21" s="1">
        <f>VLOOKUP($BE21,$W18:$AE21,6,FALSE)</f>
        <v>0</v>
      </c>
      <c r="BL21" s="1" t="str">
        <f>BE21</f>
        <v>Suécia</v>
      </c>
      <c r="BM21" s="1">
        <f>VLOOKUP($BL21,$W18:$AE21,2,FALSE)</f>
        <v>0</v>
      </c>
      <c r="BN21" s="1">
        <f>VLOOKUP($BL21,$W18:$AE21,3,FALSE)</f>
        <v>0</v>
      </c>
      <c r="BO21" s="1">
        <f>VLOOKUP($BL21,$W18:$AE21,4,FALSE)</f>
        <v>0</v>
      </c>
      <c r="BP21" s="1">
        <f>VLOOKUP($BL21,$W18:$AE21,5,FALSE)</f>
        <v>0</v>
      </c>
      <c r="BQ21" s="1">
        <f>VLOOKUP($BL21,$W18:$AE21,6,FALSE)</f>
        <v>0</v>
      </c>
      <c r="BR21" s="1">
        <f>VLOOKUP($BL21,$W18:$AE21,7,FALSE)</f>
        <v>0</v>
      </c>
      <c r="BS21" s="1">
        <f>VLOOKUP($BL21,$W18:$AE21,8,FALSE)</f>
        <v>0</v>
      </c>
      <c r="BT21" s="1">
        <f>VLOOKUP($BL21,$W18:$AE21,9,FALSE)</f>
        <v>0</v>
      </c>
    </row>
    <row r="22" spans="1:20" ht="15" customHeight="1">
      <c r="A22" s="11">
        <v>15</v>
      </c>
      <c r="B22" s="32">
        <v>38882</v>
      </c>
      <c r="C22" s="33">
        <v>0.5833333333333334</v>
      </c>
      <c r="D22" s="35" t="s">
        <v>5</v>
      </c>
      <c r="E22" s="26"/>
      <c r="F22" s="26"/>
      <c r="G22" s="38" t="s">
        <v>63</v>
      </c>
      <c r="H22" s="11" t="s">
        <v>70</v>
      </c>
      <c r="I22" s="11" t="s">
        <v>23</v>
      </c>
      <c r="J22" s="1">
        <f t="shared" si="2"/>
      </c>
      <c r="K22" s="1">
        <f t="shared" si="1"/>
      </c>
      <c r="L22" s="15" t="str">
        <f t="shared" si="4"/>
        <v>Sérvia Mont.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  <c r="R22" s="11">
        <f t="shared" si="4"/>
        <v>0</v>
      </c>
      <c r="S22" s="11">
        <f t="shared" si="4"/>
        <v>0</v>
      </c>
      <c r="T22" s="16">
        <f t="shared" si="4"/>
        <v>0</v>
      </c>
    </row>
    <row r="23" spans="1:23" ht="15" customHeight="1">
      <c r="A23" s="11">
        <v>16</v>
      </c>
      <c r="B23" s="32">
        <v>38882</v>
      </c>
      <c r="C23" s="33">
        <v>0.7083333333333334</v>
      </c>
      <c r="D23" s="35" t="s">
        <v>25</v>
      </c>
      <c r="E23" s="26"/>
      <c r="F23" s="26"/>
      <c r="G23" s="38" t="s">
        <v>64</v>
      </c>
      <c r="H23" s="11" t="s">
        <v>71</v>
      </c>
      <c r="I23" s="11" t="s">
        <v>23</v>
      </c>
      <c r="J23" s="1">
        <f t="shared" si="2"/>
      </c>
      <c r="K23" s="1">
        <f t="shared" si="1"/>
      </c>
      <c r="L23" s="17" t="str">
        <f t="shared" si="4"/>
        <v>Holanda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9">
        <f t="shared" si="4"/>
        <v>0</v>
      </c>
      <c r="W23" s="1" t="s">
        <v>31</v>
      </c>
    </row>
    <row r="24" spans="1:30" ht="15" customHeight="1">
      <c r="A24" s="11">
        <v>17</v>
      </c>
      <c r="B24" s="32">
        <v>38882</v>
      </c>
      <c r="C24" s="33">
        <v>0.8333333333333334</v>
      </c>
      <c r="D24" s="35" t="s">
        <v>12</v>
      </c>
      <c r="E24" s="26"/>
      <c r="F24" s="26"/>
      <c r="G24" s="38" t="s">
        <v>9</v>
      </c>
      <c r="H24" s="11" t="s">
        <v>69</v>
      </c>
      <c r="I24" s="11" t="s">
        <v>3</v>
      </c>
      <c r="J24" s="1">
        <f t="shared" si="2"/>
      </c>
      <c r="K24" s="1">
        <f t="shared" si="1"/>
      </c>
      <c r="X24" s="1" t="s">
        <v>37</v>
      </c>
      <c r="Y24" s="1" t="s">
        <v>38</v>
      </c>
      <c r="Z24" s="1" t="s">
        <v>11</v>
      </c>
      <c r="AA24" s="1" t="s">
        <v>13</v>
      </c>
      <c r="AB24" s="1" t="s">
        <v>39</v>
      </c>
      <c r="AC24" s="1" t="s">
        <v>40</v>
      </c>
      <c r="AD24" s="1" t="s">
        <v>41</v>
      </c>
    </row>
    <row r="25" spans="1:72" ht="15" customHeight="1">
      <c r="A25" s="11">
        <v>18</v>
      </c>
      <c r="B25" s="32">
        <v>38883</v>
      </c>
      <c r="C25" s="33">
        <v>0.5833333333333334</v>
      </c>
      <c r="D25" s="35" t="s">
        <v>21</v>
      </c>
      <c r="E25" s="26"/>
      <c r="F25" s="26"/>
      <c r="G25" s="37" t="s">
        <v>79</v>
      </c>
      <c r="H25" s="34" t="s">
        <v>77</v>
      </c>
      <c r="I25" s="11" t="s">
        <v>3</v>
      </c>
      <c r="J25" s="1">
        <f t="shared" si="2"/>
      </c>
      <c r="K25" s="1">
        <f t="shared" si="1"/>
      </c>
      <c r="L25" s="46" t="s">
        <v>32</v>
      </c>
      <c r="M25" s="22"/>
      <c r="N25" s="22"/>
      <c r="O25" s="22"/>
      <c r="P25" s="22"/>
      <c r="Q25" s="22"/>
      <c r="R25" s="22"/>
      <c r="S25" s="22"/>
      <c r="T25" s="23"/>
      <c r="W25" s="1" t="s">
        <v>15</v>
      </c>
      <c r="X25" s="1">
        <f>COUNT(Argentina_played)</f>
        <v>0</v>
      </c>
      <c r="Y25" s="1">
        <f>COUNTIF($J$8:$J$55,$W25)</f>
        <v>0</v>
      </c>
      <c r="Z25" s="1">
        <f>COUNTIF($K$8:$K$55,$W25)</f>
        <v>0</v>
      </c>
      <c r="AA25" s="1">
        <f>X25-Y25-Z25</f>
        <v>0</v>
      </c>
      <c r="AB25" s="1">
        <f>SUM(Argentina_played)</f>
        <v>0</v>
      </c>
      <c r="AC25" s="1">
        <f>SUM(Argentina_against)</f>
        <v>0</v>
      </c>
      <c r="AD25" s="1">
        <f>AB25-AC25</f>
        <v>0</v>
      </c>
      <c r="AE25" s="1">
        <f>Y25*3+AA25</f>
        <v>0</v>
      </c>
      <c r="AF25" s="1" t="str">
        <f>IF($AE25&gt;=$AE26,$W25,$W26)</f>
        <v>Argentina</v>
      </c>
      <c r="AG25" s="1">
        <f>VLOOKUP($AF25,$W25:$AE28,9,FALSE)</f>
        <v>0</v>
      </c>
      <c r="AH25" s="1" t="str">
        <f>IF($AG25&gt;=$AG27,$AF25,$AF27)</f>
        <v>Argentina</v>
      </c>
      <c r="AI25" s="1">
        <f>VLOOKUP($AH25,$W25:$AE28,9,FALSE)</f>
        <v>0</v>
      </c>
      <c r="AJ25" s="1" t="str">
        <f>IF($AI25&gt;=$AI28,$AH25,$AH28)</f>
        <v>Argentina</v>
      </c>
      <c r="AK25" s="1">
        <f>VLOOKUP($AJ25,$W25:$AE28,9,FALSE)</f>
        <v>0</v>
      </c>
      <c r="AL25" s="1">
        <f>VLOOKUP($AJ25,$W25:$AE28,8,FALSE)</f>
        <v>0</v>
      </c>
      <c r="AM25" s="1" t="str">
        <f>IF(AND($AK25=$AK26,$AL26&gt;$AL25),$AJ26,$AJ25)</f>
        <v>Argentina</v>
      </c>
      <c r="AN25" s="1">
        <f>VLOOKUP($AM25,$W25:$AE28,9,FALSE)</f>
        <v>0</v>
      </c>
      <c r="AO25" s="1">
        <f>VLOOKUP($AM25,$W25:$AE28,8,FALSE)</f>
        <v>0</v>
      </c>
      <c r="AP25" s="1" t="str">
        <f>IF(AND($AN25=$AN27,$AO27&gt;$AO25),$AM27,$AM25)</f>
        <v>Argentina</v>
      </c>
      <c r="AQ25" s="1">
        <f>VLOOKUP($AP25,$W25:$AE28,9,FALSE)</f>
        <v>0</v>
      </c>
      <c r="AR25" s="1">
        <f>VLOOKUP($AP25,$W25:$AE28,8,FALSE)</f>
        <v>0</v>
      </c>
      <c r="AS25" s="1" t="str">
        <f>IF(AND($AQ25=$AQ28,$AR28&gt;$AR25),$AP28,$AP25)</f>
        <v>Argentina</v>
      </c>
      <c r="AT25" s="1">
        <f>VLOOKUP($AS25,$W25:$AE28,9,FALSE)</f>
        <v>0</v>
      </c>
      <c r="AU25" s="1">
        <f>VLOOKUP($AS25,$W25:$AE28,8,FALSE)</f>
        <v>0</v>
      </c>
      <c r="AV25" s="1">
        <f>VLOOKUP($AS25,$W25:$AE28,6,FALSE)</f>
        <v>0</v>
      </c>
      <c r="AW25" s="1" t="str">
        <f>IF(AND($AT25=$AT26,$AU25=$AU26,$AV26&gt;$AV25),$AS26,$AS25)</f>
        <v>Argentina</v>
      </c>
      <c r="AX25" s="1">
        <f>VLOOKUP($AW25,$W25:$AE28,9,FALSE)</f>
        <v>0</v>
      </c>
      <c r="AY25" s="1">
        <f>VLOOKUP($AW25,$W25:$AE28,8,FALSE)</f>
        <v>0</v>
      </c>
      <c r="AZ25" s="1">
        <f>VLOOKUP($AW25,$W25:$AE28,6,FALSE)</f>
        <v>0</v>
      </c>
      <c r="BA25" s="1" t="str">
        <f>IF(AND($AX25=$AX27,$AY25=$AY27,$AZ27&gt;$AZ25),$AW27,$AW25)</f>
        <v>Argentina</v>
      </c>
      <c r="BB25" s="1">
        <f>VLOOKUP($BA25,$W25:$AE28,9,FALSE)</f>
        <v>0</v>
      </c>
      <c r="BC25" s="1">
        <f>VLOOKUP($BA25,$W25:$AE28,8,FALSE)</f>
        <v>0</v>
      </c>
      <c r="BD25" s="1">
        <f>VLOOKUP($BA25,$W25:$AE28,6,FALSE)</f>
        <v>0</v>
      </c>
      <c r="BE25" s="1" t="str">
        <f>IF(AND($BB25=$BB28,$BC25=$BC28,$BD28&gt;$BD25),$BA28,$BA25)</f>
        <v>Argentina</v>
      </c>
      <c r="BF25" s="1">
        <f>VLOOKUP($BE25,$W25:$AE28,9,FALSE)</f>
        <v>0</v>
      </c>
      <c r="BG25" s="1">
        <f>VLOOKUP($BE25,$W25:$AE28,8,FALSE)</f>
        <v>0</v>
      </c>
      <c r="BH25" s="1">
        <f>VLOOKUP($BE25,$W25:$AE28,6,FALSE)</f>
        <v>0</v>
      </c>
      <c r="BL25" s="1" t="str">
        <f>BE25</f>
        <v>Argentina</v>
      </c>
      <c r="BM25" s="1">
        <f>VLOOKUP($BL25,$W25:$AE28,2,FALSE)</f>
        <v>0</v>
      </c>
      <c r="BN25" s="1">
        <f>VLOOKUP($BL25,$W25:$AE28,3,FALSE)</f>
        <v>0</v>
      </c>
      <c r="BO25" s="1">
        <f>VLOOKUP($BL25,$W25:$AE28,4,FALSE)</f>
        <v>0</v>
      </c>
      <c r="BP25" s="1">
        <f>VLOOKUP($BL25,$W25:$AE28,5,FALSE)</f>
        <v>0</v>
      </c>
      <c r="BQ25" s="1">
        <f>VLOOKUP($BL25,$W25:$AE28,6,FALSE)</f>
        <v>0</v>
      </c>
      <c r="BR25" s="1">
        <f>VLOOKUP($BL25,$W25:$AE28,7,FALSE)</f>
        <v>0</v>
      </c>
      <c r="BS25" s="1">
        <f>VLOOKUP($BL25,$W25:$AE28,8,FALSE)</f>
        <v>0</v>
      </c>
      <c r="BT25" s="1">
        <f>VLOOKUP($BL25,$W25:$AE28,9,FALSE)</f>
        <v>0</v>
      </c>
    </row>
    <row r="26" spans="1:72" ht="15" customHeight="1">
      <c r="A26" s="11">
        <v>19</v>
      </c>
      <c r="B26" s="32">
        <v>38883</v>
      </c>
      <c r="C26" s="33">
        <v>0.7083333333333334</v>
      </c>
      <c r="D26" s="35" t="s">
        <v>14</v>
      </c>
      <c r="E26" s="26"/>
      <c r="F26" s="26"/>
      <c r="G26" s="38" t="s">
        <v>50</v>
      </c>
      <c r="H26" s="11" t="s">
        <v>72</v>
      </c>
      <c r="I26" s="11" t="s">
        <v>6</v>
      </c>
      <c r="J26" s="1">
        <f t="shared" si="2"/>
      </c>
      <c r="K26" s="1">
        <f t="shared" si="1"/>
      </c>
      <c r="L26" s="47"/>
      <c r="M26" s="20" t="s">
        <v>43</v>
      </c>
      <c r="N26" s="20" t="s">
        <v>38</v>
      </c>
      <c r="O26" s="20" t="s">
        <v>11</v>
      </c>
      <c r="P26" s="20" t="s">
        <v>13</v>
      </c>
      <c r="Q26" s="20" t="s">
        <v>39</v>
      </c>
      <c r="R26" s="20" t="s">
        <v>40</v>
      </c>
      <c r="S26" s="20" t="s">
        <v>41</v>
      </c>
      <c r="T26" s="21" t="s">
        <v>44</v>
      </c>
      <c r="W26" s="1" t="s">
        <v>51</v>
      </c>
      <c r="X26" s="1">
        <f>COUNT(C.Marfim_played)</f>
        <v>0</v>
      </c>
      <c r="Y26" s="1">
        <f>COUNTIF($J$8:$J$55,$W26)</f>
        <v>0</v>
      </c>
      <c r="Z26" s="1">
        <f>COUNTIF($K$8:$K$55,$W26)</f>
        <v>0</v>
      </c>
      <c r="AA26" s="1">
        <f>X26-Y26-Z26</f>
        <v>0</v>
      </c>
      <c r="AB26" s="1">
        <f>SUM(C.Marfim_played)</f>
        <v>0</v>
      </c>
      <c r="AC26" s="1">
        <f>SUM(C.Marfim_against)</f>
        <v>0</v>
      </c>
      <c r="AD26" s="1">
        <f>AB26-AC26</f>
        <v>0</v>
      </c>
      <c r="AE26" s="1">
        <f>Y26*3+AA26</f>
        <v>0</v>
      </c>
      <c r="AF26" s="1" t="str">
        <f>IF($AE26&lt;=$AE25,$W26,$W25)</f>
        <v>C.Marfim</v>
      </c>
      <c r="AG26" s="1">
        <f>VLOOKUP($AF26,$W25:$AE28,9,FALSE)</f>
        <v>0</v>
      </c>
      <c r="AH26" s="1" t="str">
        <f>IF(AG26&gt;=AG28,AF26,AF28)</f>
        <v>C.Marfim</v>
      </c>
      <c r="AI26" s="1">
        <f>VLOOKUP($AH26,$W25:$AE28,9,FALSE)</f>
        <v>0</v>
      </c>
      <c r="AJ26" s="1" t="str">
        <f>IF($AI26&gt;=$AI27,$AH26,$AH27)</f>
        <v>C.Marfim</v>
      </c>
      <c r="AK26" s="1">
        <f>VLOOKUP($AJ26,$W25:$AE28,9,FALSE)</f>
        <v>0</v>
      </c>
      <c r="AL26" s="1">
        <f>VLOOKUP($AJ26,$W25:$AE28,8,FALSE)</f>
        <v>0</v>
      </c>
      <c r="AM26" s="1" t="str">
        <f>IF(AND($AK25=$AK26,$AL26&gt;$AL25),$AJ25,$AJ26)</f>
        <v>C.Marfim</v>
      </c>
      <c r="AN26" s="1">
        <f>VLOOKUP($AM26,$W25:$AE28,9,FALSE)</f>
        <v>0</v>
      </c>
      <c r="AO26" s="1">
        <f>VLOOKUP($AM26,$W25:$AE28,8,FALSE)</f>
        <v>0</v>
      </c>
      <c r="AP26" s="1" t="str">
        <f>IF(AND($AN26=$AN28,$AO28&gt;$AO26),$AM28,$AM26)</f>
        <v>C.Marfim</v>
      </c>
      <c r="AQ26" s="1">
        <f>VLOOKUP($AP26,$W25:$AE28,9,FALSE)</f>
        <v>0</v>
      </c>
      <c r="AR26" s="1">
        <f>VLOOKUP($AP26,$W25:$AE28,8,FALSE)</f>
        <v>0</v>
      </c>
      <c r="AS26" s="1" t="str">
        <f>IF(AND($AQ26=$AQ27,$AR27&gt;$AR26),$AP27,$AP26)</f>
        <v>C.Marfim</v>
      </c>
      <c r="AT26" s="1">
        <f>VLOOKUP($AS26,$W25:$AE28,9,FALSE)</f>
        <v>0</v>
      </c>
      <c r="AU26" s="1">
        <f>VLOOKUP($AS26,$W25:$AE28,8,FALSE)</f>
        <v>0</v>
      </c>
      <c r="AV26" s="1">
        <f>VLOOKUP($AS26,$W25:$AE28,6,FALSE)</f>
        <v>0</v>
      </c>
      <c r="AW26" s="1" t="str">
        <f>IF(AND($AT25=$AT26,$AU25=$AU26,$AV26&gt;$AV25),$AS25,$AS26)</f>
        <v>C.Marfim</v>
      </c>
      <c r="AX26" s="1">
        <f>VLOOKUP($AW26,$W25:$AE28,9,FALSE)</f>
        <v>0</v>
      </c>
      <c r="AY26" s="1">
        <f>VLOOKUP($AW26,$W25:$AE28,8,FALSE)</f>
        <v>0</v>
      </c>
      <c r="AZ26" s="1">
        <f>VLOOKUP($AW26,$W25:$AE28,6,FALSE)</f>
        <v>0</v>
      </c>
      <c r="BA26" s="1" t="str">
        <f>IF(AND($AX26=$AX28,$AY26=$AY28,$AZ28&gt;$AZ26),$AW28,$AW26)</f>
        <v>C.Marfim</v>
      </c>
      <c r="BB26" s="1">
        <f>VLOOKUP($BA26,$W25:$AE28,9,FALSE)</f>
        <v>0</v>
      </c>
      <c r="BC26" s="1">
        <f>VLOOKUP($BA26,$W25:$AE28,8,FALSE)</f>
        <v>0</v>
      </c>
      <c r="BD26" s="1">
        <f>VLOOKUP($BA26,$W25:$AE28,6,FALSE)</f>
        <v>0</v>
      </c>
      <c r="BE26" s="1" t="str">
        <f>IF(AND($BB26=$BB27,$BC26=$BC27,$BD27&gt;$BD26),$BA27,$BA26)</f>
        <v>C.Marfim</v>
      </c>
      <c r="BF26" s="1">
        <f>VLOOKUP($BE26,$W25:$AE28,9,FALSE)</f>
        <v>0</v>
      </c>
      <c r="BG26" s="1">
        <f>VLOOKUP($BE26,$W25:$AE28,8,FALSE)</f>
        <v>0</v>
      </c>
      <c r="BH26" s="1">
        <f>VLOOKUP($BE26,$W25:$AE28,6,FALSE)</f>
        <v>0</v>
      </c>
      <c r="BL26" s="1" t="str">
        <f>BE26</f>
        <v>C.Marfim</v>
      </c>
      <c r="BM26" s="1">
        <f>VLOOKUP($BL26,$W25:$AE28,2,FALSE)</f>
        <v>0</v>
      </c>
      <c r="BN26" s="1">
        <f>VLOOKUP($BL26,$W25:$AE28,3,FALSE)</f>
        <v>0</v>
      </c>
      <c r="BO26" s="1">
        <f>VLOOKUP($BL26,$W25:$AE28,4,FALSE)</f>
        <v>0</v>
      </c>
      <c r="BP26" s="1">
        <f>VLOOKUP($BL26,$W25:$AE28,5,FALSE)</f>
        <v>0</v>
      </c>
      <c r="BQ26" s="1">
        <f>VLOOKUP($BL26,$W25:$AE28,6,FALSE)</f>
        <v>0</v>
      </c>
      <c r="BR26" s="1">
        <f>VLOOKUP($BL26,$W25:$AE28,7,FALSE)</f>
        <v>0</v>
      </c>
      <c r="BS26" s="1">
        <f>VLOOKUP($BL26,$W25:$AE28,8,FALSE)</f>
        <v>0</v>
      </c>
      <c r="BT26" s="1">
        <f>VLOOKUP($BL26,$W25:$AE28,9,FALSE)</f>
        <v>0</v>
      </c>
    </row>
    <row r="27" spans="1:72" ht="15" customHeight="1">
      <c r="A27" s="11">
        <v>20</v>
      </c>
      <c r="B27" s="32">
        <v>38883</v>
      </c>
      <c r="C27" s="33">
        <v>0.8333333333333334</v>
      </c>
      <c r="D27" s="35" t="s">
        <v>16</v>
      </c>
      <c r="E27" s="26"/>
      <c r="F27" s="26"/>
      <c r="G27" s="38" t="s">
        <v>4</v>
      </c>
      <c r="H27" s="11" t="s">
        <v>75</v>
      </c>
      <c r="I27" s="11" t="s">
        <v>6</v>
      </c>
      <c r="J27" s="1">
        <f t="shared" si="2"/>
      </c>
      <c r="K27" s="1">
        <f t="shared" si="1"/>
      </c>
      <c r="L27" s="12" t="str">
        <f aca="true" t="shared" si="5" ref="L27:T30">BL32</f>
        <v>México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3">
        <f t="shared" si="5"/>
        <v>0</v>
      </c>
      <c r="Q27" s="13">
        <f t="shared" si="5"/>
        <v>0</v>
      </c>
      <c r="R27" s="13">
        <f t="shared" si="5"/>
        <v>0</v>
      </c>
      <c r="S27" s="13">
        <f t="shared" si="5"/>
        <v>0</v>
      </c>
      <c r="T27" s="14">
        <f t="shared" si="5"/>
        <v>0</v>
      </c>
      <c r="W27" s="1" t="s">
        <v>52</v>
      </c>
      <c r="X27" s="1">
        <f>COUNT(Sérvia_played)</f>
        <v>0</v>
      </c>
      <c r="Y27" s="1">
        <f>COUNTIF($J$8:$J$55,$W27)</f>
        <v>0</v>
      </c>
      <c r="Z27" s="1">
        <f>COUNTIF($K$8:$K$55,$W27)</f>
        <v>0</v>
      </c>
      <c r="AA27" s="1">
        <f>X27-Y27-Z27</f>
        <v>0</v>
      </c>
      <c r="AB27" s="1">
        <f>SUM(Sérvia_played)</f>
        <v>0</v>
      </c>
      <c r="AC27" s="1">
        <f>SUM(Sérvia_against)</f>
        <v>0</v>
      </c>
      <c r="AD27" s="1">
        <f>AB27-AC27</f>
        <v>0</v>
      </c>
      <c r="AE27" s="1">
        <f>Y27*3+AA27</f>
        <v>0</v>
      </c>
      <c r="AF27" s="1" t="str">
        <f>IF($AE27&gt;=$AE28,$W27,$W28)</f>
        <v>Sérvia Mont.</v>
      </c>
      <c r="AG27" s="1">
        <f>VLOOKUP($AF27,$W25:$AE28,9,FALSE)</f>
        <v>0</v>
      </c>
      <c r="AH27" s="1" t="str">
        <f>IF($AG27&lt;=$AG25,$AF27,$AF25)</f>
        <v>Sérvia Mont.</v>
      </c>
      <c r="AI27" s="1">
        <f>VLOOKUP($AH27,$W25:$AE28,9,FALSE)</f>
        <v>0</v>
      </c>
      <c r="AJ27" s="1" t="str">
        <f>IF($AI27&lt;=$AI26,$AH27,$AH26)</f>
        <v>Sérvia Mont.</v>
      </c>
      <c r="AK27" s="1">
        <f>VLOOKUP($AJ27,$W25:$AE28,9,FALSE)</f>
        <v>0</v>
      </c>
      <c r="AL27" s="1">
        <f>VLOOKUP($AJ27,$W25:$AE28,8,FALSE)</f>
        <v>0</v>
      </c>
      <c r="AM27" s="1" t="str">
        <f>IF(AND($AK27=$AK28,$AL28&gt;$AL27),$AJ28,$AJ27)</f>
        <v>Sérvia Mont.</v>
      </c>
      <c r="AN27" s="1">
        <f>VLOOKUP($AM27,$W25:$AE28,9,FALSE)</f>
        <v>0</v>
      </c>
      <c r="AO27" s="1">
        <f>VLOOKUP($AM27,$W25:$AE28,8,FALSE)</f>
        <v>0</v>
      </c>
      <c r="AP27" s="1" t="str">
        <f>IF(AND($AN25=$AN27,$AO27&gt;$AO25),$AM25,$AM27)</f>
        <v>Sérvia Mont.</v>
      </c>
      <c r="AQ27" s="1">
        <f>VLOOKUP($AP27,$W25:$AE28,9,FALSE)</f>
        <v>0</v>
      </c>
      <c r="AR27" s="1">
        <f>VLOOKUP($AP27,$W25:$AE28,8,FALSE)</f>
        <v>0</v>
      </c>
      <c r="AS27" s="1" t="str">
        <f>IF(AND($AQ26=$AQ27,$AR27&gt;$AR26),$AP26,$AP27)</f>
        <v>Sérvia Mont.</v>
      </c>
      <c r="AT27" s="1">
        <f>VLOOKUP($AS27,$W25:$AE28,9,FALSE)</f>
        <v>0</v>
      </c>
      <c r="AU27" s="1">
        <f>VLOOKUP($AS27,$W25:$AE28,8,FALSE)</f>
        <v>0</v>
      </c>
      <c r="AV27" s="1">
        <f>VLOOKUP($AS27,$W25:$AE28,6,FALSE)</f>
        <v>0</v>
      </c>
      <c r="AW27" s="1" t="str">
        <f>IF(AND($AT27=$AT28,$AU27=$AU28,$AV28&gt;$AV27),$AS28,$AS27)</f>
        <v>Sérvia Mont.</v>
      </c>
      <c r="AX27" s="1">
        <f>VLOOKUP($AW27,$W25:$AE28,9,FALSE)</f>
        <v>0</v>
      </c>
      <c r="AY27" s="1">
        <f>VLOOKUP($AW27,$W25:$AE28,8,FALSE)</f>
        <v>0</v>
      </c>
      <c r="AZ27" s="1">
        <f>VLOOKUP($AW27,$W25:$AE28,6,FALSE)</f>
        <v>0</v>
      </c>
      <c r="BA27" s="1" t="str">
        <f>IF(AND($AX25=$AX27,$AY25=$AY27,$AZ26&gt;$AZ25),$AW25,$AW27)</f>
        <v>Sérvia Mont.</v>
      </c>
      <c r="BB27" s="1">
        <f>VLOOKUP($BA27,$W25:$AE28,9,FALSE)</f>
        <v>0</v>
      </c>
      <c r="BC27" s="1">
        <f>VLOOKUP($BA27,$W25:$AE28,8,FALSE)</f>
        <v>0</v>
      </c>
      <c r="BD27" s="1">
        <f>VLOOKUP($BA27,$W25:$AE28,6,FALSE)</f>
        <v>0</v>
      </c>
      <c r="BE27" s="1" t="str">
        <f>IF(AND($BB26=$BB27,$BC26=$BC27,$BD27&gt;$BD26),$BA26,$BA27)</f>
        <v>Sérvia Mont.</v>
      </c>
      <c r="BF27" s="1">
        <f>VLOOKUP($BE27,$W25:$AE28,9,FALSE)</f>
        <v>0</v>
      </c>
      <c r="BG27" s="1">
        <f>VLOOKUP($BE27,$W25:$AE28,8,FALSE)</f>
        <v>0</v>
      </c>
      <c r="BH27" s="1">
        <f>VLOOKUP($BE27,$W25:$AE28,6,FALSE)</f>
        <v>0</v>
      </c>
      <c r="BL27" s="1" t="str">
        <f>BE27</f>
        <v>Sérvia Mont.</v>
      </c>
      <c r="BM27" s="1">
        <f>VLOOKUP($BL27,$W25:$AE28,2,FALSE)</f>
        <v>0</v>
      </c>
      <c r="BN27" s="1">
        <f>VLOOKUP($BL27,$W25:$AE28,3,FALSE)</f>
        <v>0</v>
      </c>
      <c r="BO27" s="1">
        <f>VLOOKUP($BL27,$W25:$AE28,4,FALSE)</f>
        <v>0</v>
      </c>
      <c r="BP27" s="1">
        <f>VLOOKUP($BL27,$W25:$AE28,5,FALSE)</f>
        <v>0</v>
      </c>
      <c r="BQ27" s="1">
        <f>VLOOKUP($BL27,$W25:$AE28,6,FALSE)</f>
        <v>0</v>
      </c>
      <c r="BR27" s="1">
        <f>VLOOKUP($BL27,$W25:$AE28,7,FALSE)</f>
        <v>0</v>
      </c>
      <c r="BS27" s="1">
        <f>VLOOKUP($BL27,$W25:$AE28,8,FALSE)</f>
        <v>0</v>
      </c>
      <c r="BT27" s="1">
        <f>VLOOKUP($BL27,$W25:$AE28,9,FALSE)</f>
        <v>0</v>
      </c>
    </row>
    <row r="28" spans="1:72" ht="15" customHeight="1">
      <c r="A28" s="11">
        <v>21</v>
      </c>
      <c r="B28" s="32">
        <v>38884</v>
      </c>
      <c r="C28" s="33">
        <v>0.5833333333333334</v>
      </c>
      <c r="D28" s="35" t="s">
        <v>15</v>
      </c>
      <c r="E28" s="26"/>
      <c r="F28" s="26"/>
      <c r="G28" s="38" t="s">
        <v>52</v>
      </c>
      <c r="H28" s="11" t="s">
        <v>67</v>
      </c>
      <c r="I28" s="11" t="s">
        <v>8</v>
      </c>
      <c r="J28" s="1">
        <f t="shared" si="2"/>
      </c>
      <c r="K28" s="1">
        <f t="shared" si="1"/>
      </c>
      <c r="L28" s="15" t="str">
        <f t="shared" si="5"/>
        <v>Irão</v>
      </c>
      <c r="M28" s="11">
        <f t="shared" si="5"/>
        <v>0</v>
      </c>
      <c r="N28" s="11">
        <f t="shared" si="5"/>
        <v>0</v>
      </c>
      <c r="O28" s="11">
        <f t="shared" si="5"/>
        <v>0</v>
      </c>
      <c r="P28" s="11">
        <f t="shared" si="5"/>
        <v>0</v>
      </c>
      <c r="Q28" s="11">
        <f t="shared" si="5"/>
        <v>0</v>
      </c>
      <c r="R28" s="11">
        <f t="shared" si="5"/>
        <v>0</v>
      </c>
      <c r="S28" s="11">
        <f t="shared" si="5"/>
        <v>0</v>
      </c>
      <c r="T28" s="16">
        <f t="shared" si="5"/>
        <v>0</v>
      </c>
      <c r="W28" s="1" t="s">
        <v>53</v>
      </c>
      <c r="X28" s="1">
        <f>COUNT(Holanda_played)</f>
        <v>0</v>
      </c>
      <c r="Y28" s="1">
        <f>COUNTIF($J$8:$J$55,$W28)</f>
        <v>0</v>
      </c>
      <c r="Z28" s="1">
        <f>COUNTIF($K$8:$K$55,$W28)</f>
        <v>0</v>
      </c>
      <c r="AA28" s="1">
        <f>X28-Y28-Z28</f>
        <v>0</v>
      </c>
      <c r="AB28" s="1">
        <f>SUM(Holanda_played)</f>
        <v>0</v>
      </c>
      <c r="AC28" s="1">
        <f>SUM(Holanda_against)</f>
        <v>0</v>
      </c>
      <c r="AD28" s="1">
        <f>AB28-AC28</f>
        <v>0</v>
      </c>
      <c r="AE28" s="1">
        <f>Y28*3+AA28</f>
        <v>0</v>
      </c>
      <c r="AF28" s="1" t="str">
        <f>IF($AE28&lt;=$AE27,$W28,$W27)</f>
        <v>Holanda</v>
      </c>
      <c r="AG28" s="1">
        <f>VLOOKUP($AF28,$W25:$AE28,9,FALSE)</f>
        <v>0</v>
      </c>
      <c r="AH28" s="1" t="str">
        <f>IF(AG28&lt;=AG26,AF28,AF26)</f>
        <v>Holanda</v>
      </c>
      <c r="AI28" s="1">
        <f>VLOOKUP($AH28,$W25:$AE28,9,FALSE)</f>
        <v>0</v>
      </c>
      <c r="AJ28" s="1" t="str">
        <f>IF($AI28&lt;=$AI25,$AH28,$AH25)</f>
        <v>Holanda</v>
      </c>
      <c r="AK28" s="1">
        <f>VLOOKUP($AJ28,$W25:$AE28,9,FALSE)</f>
        <v>0</v>
      </c>
      <c r="AL28" s="1">
        <f>VLOOKUP($AJ28,$W25:$AE28,8,FALSE)</f>
        <v>0</v>
      </c>
      <c r="AM28" s="1" t="str">
        <f>IF(AND($AK27=$AK28,$AL28&gt;$AL27),$AJ27,$AJ28)</f>
        <v>Holanda</v>
      </c>
      <c r="AN28" s="1">
        <f>VLOOKUP($AM28,$W25:$AE28,9,FALSE)</f>
        <v>0</v>
      </c>
      <c r="AO28" s="1">
        <f>VLOOKUP($AM28,$W25:$AE28,8,FALSE)</f>
        <v>0</v>
      </c>
      <c r="AP28" s="1" t="str">
        <f>IF(AND($AN26=$AN28,$AO28&gt;$AO26),$AM26,$AM28)</f>
        <v>Holanda</v>
      </c>
      <c r="AQ28" s="1">
        <f>VLOOKUP($AP28,$W25:$AE28,9,FALSE)</f>
        <v>0</v>
      </c>
      <c r="AR28" s="1">
        <f>VLOOKUP($AP28,$W25:$AE28,8,FALSE)</f>
        <v>0</v>
      </c>
      <c r="AS28" s="1" t="str">
        <f>IF(AND($AQ25=$AQ28,$AR28&gt;$AR25),$AP25,$AP28)</f>
        <v>Holanda</v>
      </c>
      <c r="AT28" s="1">
        <f>VLOOKUP($AS28,$W25:$AE28,9,FALSE)</f>
        <v>0</v>
      </c>
      <c r="AU28" s="1">
        <f>VLOOKUP($AS28,$W25:$AE28,8,FALSE)</f>
        <v>0</v>
      </c>
      <c r="AV28" s="1">
        <f>VLOOKUP($AS28,$W25:$AE28,6,FALSE)</f>
        <v>0</v>
      </c>
      <c r="AW28" s="1" t="str">
        <f>IF(AND($AT27=$AT28,$AU27=$AU28,$AV28&gt;$AV27),$AS27,$AS28)</f>
        <v>Holanda</v>
      </c>
      <c r="AX28" s="1">
        <f>VLOOKUP($AW28,$W25:$AE28,9,FALSE)</f>
        <v>0</v>
      </c>
      <c r="AY28" s="1">
        <f>VLOOKUP($AW28,$W25:$AE28,8,FALSE)</f>
        <v>0</v>
      </c>
      <c r="AZ28" s="1">
        <f>VLOOKUP($AW28,$W25:$AE28,6,FALSE)</f>
        <v>0</v>
      </c>
      <c r="BA28" s="1" t="str">
        <f>IF(AND($AX26=$AX28,$AY26=$AY28,$AZ28&gt;$AZ26),$AW26,$AW28)</f>
        <v>Holanda</v>
      </c>
      <c r="BB28" s="1">
        <f>VLOOKUP($BA28,$W25:$AE28,9,FALSE)</f>
        <v>0</v>
      </c>
      <c r="BC28" s="1">
        <f>VLOOKUP($BA28,$W25:$AE28,8,FALSE)</f>
        <v>0</v>
      </c>
      <c r="BD28" s="1">
        <f>VLOOKUP($BA28,$W25:$AE28,6,FALSE)</f>
        <v>0</v>
      </c>
      <c r="BE28" s="1" t="str">
        <f>IF(AND($BB25=$BB28,$BC25=$BC28,$BD28&gt;$BD25),$BA25,$BA28)</f>
        <v>Holanda</v>
      </c>
      <c r="BF28" s="1">
        <f>VLOOKUP($BE28,$W25:$AE28,9,FALSE)</f>
        <v>0</v>
      </c>
      <c r="BG28" s="1">
        <f>VLOOKUP($BE28,$W25:$AE28,8,FALSE)</f>
        <v>0</v>
      </c>
      <c r="BH28" s="1">
        <f>VLOOKUP($BE28,$W25:$AE28,6,FALSE)</f>
        <v>0</v>
      </c>
      <c r="BL28" s="1" t="str">
        <f>BE28</f>
        <v>Holanda</v>
      </c>
      <c r="BM28" s="1">
        <f>VLOOKUP($BL28,$W25:$AE28,2,FALSE)</f>
        <v>0</v>
      </c>
      <c r="BN28" s="1">
        <f>VLOOKUP($BL28,$W25:$AE28,3,FALSE)</f>
        <v>0</v>
      </c>
      <c r="BO28" s="1">
        <f>VLOOKUP($BL28,$W25:$AE28,4,FALSE)</f>
        <v>0</v>
      </c>
      <c r="BP28" s="1">
        <f>VLOOKUP($BL28,$W25:$AE28,5,FALSE)</f>
        <v>0</v>
      </c>
      <c r="BQ28" s="1">
        <f>VLOOKUP($BL28,$W25:$AE28,6,FALSE)</f>
        <v>0</v>
      </c>
      <c r="BR28" s="1">
        <f>VLOOKUP($BL28,$W25:$AE28,7,FALSE)</f>
        <v>0</v>
      </c>
      <c r="BS28" s="1">
        <f>VLOOKUP($BL28,$W25:$AE28,8,FALSE)</f>
        <v>0</v>
      </c>
      <c r="BT28" s="1">
        <f>VLOOKUP($BL28,$W25:$AE28,9,FALSE)</f>
        <v>0</v>
      </c>
    </row>
    <row r="29" spans="1:20" ht="15" customHeight="1">
      <c r="A29" s="11">
        <v>22</v>
      </c>
      <c r="B29" s="32">
        <v>38884</v>
      </c>
      <c r="C29" s="33">
        <v>0.7083333333333334</v>
      </c>
      <c r="D29" s="35" t="s">
        <v>53</v>
      </c>
      <c r="E29" s="26"/>
      <c r="F29" s="26"/>
      <c r="G29" s="38" t="s">
        <v>51</v>
      </c>
      <c r="H29" s="11" t="s">
        <v>76</v>
      </c>
      <c r="I29" s="11" t="s">
        <v>8</v>
      </c>
      <c r="J29" s="1">
        <f t="shared" si="2"/>
      </c>
      <c r="K29" s="1">
        <f t="shared" si="1"/>
      </c>
      <c r="L29" s="15" t="str">
        <f t="shared" si="5"/>
        <v>Angola</v>
      </c>
      <c r="M29" s="11">
        <f t="shared" si="5"/>
        <v>0</v>
      </c>
      <c r="N29" s="11">
        <f t="shared" si="5"/>
        <v>0</v>
      </c>
      <c r="O29" s="11">
        <f t="shared" si="5"/>
        <v>0</v>
      </c>
      <c r="P29" s="11">
        <f t="shared" si="5"/>
        <v>0</v>
      </c>
      <c r="Q29" s="11">
        <f t="shared" si="5"/>
        <v>0</v>
      </c>
      <c r="R29" s="11">
        <f t="shared" si="5"/>
        <v>0</v>
      </c>
      <c r="S29" s="11">
        <f t="shared" si="5"/>
        <v>0</v>
      </c>
      <c r="T29" s="16">
        <f t="shared" si="5"/>
        <v>0</v>
      </c>
    </row>
    <row r="30" spans="1:23" ht="15" customHeight="1">
      <c r="A30" s="11">
        <v>23</v>
      </c>
      <c r="B30" s="32">
        <v>38884</v>
      </c>
      <c r="C30" s="33">
        <v>0.8333333333333334</v>
      </c>
      <c r="D30" s="35" t="s">
        <v>19</v>
      </c>
      <c r="E30" s="26"/>
      <c r="F30" s="26"/>
      <c r="G30" s="38" t="s">
        <v>55</v>
      </c>
      <c r="H30" s="11" t="s">
        <v>74</v>
      </c>
      <c r="I30" s="11" t="s">
        <v>11</v>
      </c>
      <c r="J30" s="1">
        <f t="shared" si="2"/>
      </c>
      <c r="K30" s="1">
        <f t="shared" si="1"/>
      </c>
      <c r="L30" s="17" t="str">
        <f t="shared" si="5"/>
        <v>Portugal</v>
      </c>
      <c r="M30" s="18">
        <f t="shared" si="5"/>
        <v>0</v>
      </c>
      <c r="N30" s="18">
        <f t="shared" si="5"/>
        <v>0</v>
      </c>
      <c r="O30" s="18">
        <f t="shared" si="5"/>
        <v>0</v>
      </c>
      <c r="P30" s="18">
        <f t="shared" si="5"/>
        <v>0</v>
      </c>
      <c r="Q30" s="18">
        <f t="shared" si="5"/>
        <v>0</v>
      </c>
      <c r="R30" s="18">
        <f t="shared" si="5"/>
        <v>0</v>
      </c>
      <c r="S30" s="18">
        <f t="shared" si="5"/>
        <v>0</v>
      </c>
      <c r="T30" s="19">
        <f t="shared" si="5"/>
        <v>0</v>
      </c>
      <c r="W30" s="1" t="s">
        <v>32</v>
      </c>
    </row>
    <row r="31" spans="1:30" ht="15" customHeight="1">
      <c r="A31" s="11">
        <v>24</v>
      </c>
      <c r="B31" s="32">
        <v>38885</v>
      </c>
      <c r="C31" s="33">
        <v>0.5833333333333334</v>
      </c>
      <c r="D31" s="35" t="s">
        <v>10</v>
      </c>
      <c r="E31" s="26"/>
      <c r="F31" s="26"/>
      <c r="G31" s="38" t="s">
        <v>54</v>
      </c>
      <c r="H31" s="11" t="s">
        <v>68</v>
      </c>
      <c r="I31" s="11" t="s">
        <v>11</v>
      </c>
      <c r="J31" s="1">
        <f t="shared" si="2"/>
      </c>
      <c r="K31" s="1">
        <f t="shared" si="1"/>
      </c>
      <c r="X31" s="1" t="s">
        <v>37</v>
      </c>
      <c r="Y31" s="1" t="s">
        <v>38</v>
      </c>
      <c r="Z31" s="1" t="s">
        <v>11</v>
      </c>
      <c r="AA31" s="1" t="s">
        <v>13</v>
      </c>
      <c r="AB31" s="1" t="s">
        <v>39</v>
      </c>
      <c r="AC31" s="1" t="s">
        <v>40</v>
      </c>
      <c r="AD31" s="1" t="s">
        <v>41</v>
      </c>
    </row>
    <row r="32" spans="1:72" ht="15" customHeight="1">
      <c r="A32" s="11">
        <v>25</v>
      </c>
      <c r="B32" s="32">
        <v>38885</v>
      </c>
      <c r="C32" s="33">
        <v>0.8333333333333334</v>
      </c>
      <c r="D32" s="35" t="s">
        <v>20</v>
      </c>
      <c r="E32" s="26"/>
      <c r="F32" s="26"/>
      <c r="G32" s="38" t="s">
        <v>57</v>
      </c>
      <c r="H32" s="11" t="s">
        <v>78</v>
      </c>
      <c r="I32" s="11" t="s">
        <v>13</v>
      </c>
      <c r="J32" s="1">
        <f t="shared" si="2"/>
      </c>
      <c r="K32" s="1">
        <f t="shared" si="1"/>
      </c>
      <c r="L32" s="46" t="s">
        <v>33</v>
      </c>
      <c r="M32" s="22"/>
      <c r="N32" s="22"/>
      <c r="O32" s="22"/>
      <c r="P32" s="22"/>
      <c r="Q32" s="22"/>
      <c r="R32" s="22"/>
      <c r="S32" s="22"/>
      <c r="T32" s="23"/>
      <c r="W32" s="1" t="s">
        <v>19</v>
      </c>
      <c r="X32" s="1">
        <f>COUNT(México_played)</f>
        <v>0</v>
      </c>
      <c r="Y32" s="1">
        <f>COUNTIF($J$8:$J$55,$W32)</f>
        <v>0</v>
      </c>
      <c r="Z32" s="1">
        <f>COUNTIF($K$8:$K$55,$W32)</f>
        <v>0</v>
      </c>
      <c r="AA32" s="1">
        <f>X32-Y32-Z32</f>
        <v>0</v>
      </c>
      <c r="AB32" s="1">
        <f>SUM(México_played)</f>
        <v>0</v>
      </c>
      <c r="AC32" s="1">
        <f>SUM(México_against)</f>
        <v>0</v>
      </c>
      <c r="AD32" s="1">
        <f>AB32-AC32</f>
        <v>0</v>
      </c>
      <c r="AE32" s="1">
        <f>Y32*3+AA32</f>
        <v>0</v>
      </c>
      <c r="AF32" s="1" t="str">
        <f>IF($AE32&gt;=$AE33,$W32,$W33)</f>
        <v>México</v>
      </c>
      <c r="AG32" s="1">
        <f>VLOOKUP($AF32,$W32:$AE35,9,FALSE)</f>
        <v>0</v>
      </c>
      <c r="AH32" s="1" t="str">
        <f>IF($AG32&gt;=$AG34,$AF32,$AF34)</f>
        <v>México</v>
      </c>
      <c r="AI32" s="1">
        <f>VLOOKUP($AH32,$W32:$AE35,9,FALSE)</f>
        <v>0</v>
      </c>
      <c r="AJ32" s="1" t="str">
        <f>IF($AI32&gt;=$AI35,$AH32,$AH35)</f>
        <v>México</v>
      </c>
      <c r="AK32" s="1">
        <f>VLOOKUP($AJ32,$W32:$AE35,9,FALSE)</f>
        <v>0</v>
      </c>
      <c r="AL32" s="1">
        <f>VLOOKUP($AJ32,$W32:$AE35,8,FALSE)</f>
        <v>0</v>
      </c>
      <c r="AM32" s="1" t="str">
        <f>IF(AND($AK32=$AK33,$AL33&gt;$AL32),$AJ33,$AJ32)</f>
        <v>México</v>
      </c>
      <c r="AN32" s="1">
        <f>VLOOKUP($AM32,$W32:$AE35,9,FALSE)</f>
        <v>0</v>
      </c>
      <c r="AO32" s="1">
        <f>VLOOKUP($AM32,$W32:$AE35,8,FALSE)</f>
        <v>0</v>
      </c>
      <c r="AP32" s="1" t="str">
        <f>IF(AND($AN32=$AN34,$AO34&gt;$AO32),$AM34,$AM32)</f>
        <v>México</v>
      </c>
      <c r="AQ32" s="1">
        <f>VLOOKUP($AP32,$W32:$AE35,9,FALSE)</f>
        <v>0</v>
      </c>
      <c r="AR32" s="1">
        <f>VLOOKUP($AP32,$W32:$AE35,8,FALSE)</f>
        <v>0</v>
      </c>
      <c r="AS32" s="1" t="str">
        <f>IF(AND($AQ32=$AQ35,$AR35&gt;$AR32),$AP35,$AP32)</f>
        <v>México</v>
      </c>
      <c r="AT32" s="1">
        <f>VLOOKUP($AS32,$W32:$AE35,9,FALSE)</f>
        <v>0</v>
      </c>
      <c r="AU32" s="1">
        <f>VLOOKUP($AS32,$W32:$AE35,8,FALSE)</f>
        <v>0</v>
      </c>
      <c r="AV32" s="1">
        <f>VLOOKUP($AS32,$W32:$AE35,6,FALSE)</f>
        <v>0</v>
      </c>
      <c r="AW32" s="1" t="str">
        <f>IF(AND($AT32=$AT33,$AU32=$AU33,$AV33&gt;$AV32),$AS33,$AS32)</f>
        <v>México</v>
      </c>
      <c r="AX32" s="1">
        <f>VLOOKUP($AW32,$W32:$AE35,9,FALSE)</f>
        <v>0</v>
      </c>
      <c r="AY32" s="1">
        <f>VLOOKUP($AW32,$W32:$AE35,8,FALSE)</f>
        <v>0</v>
      </c>
      <c r="AZ32" s="1">
        <f>VLOOKUP($AW32,$W32:$AE35,6,FALSE)</f>
        <v>0</v>
      </c>
      <c r="BA32" s="1" t="str">
        <f>IF(AND($AX32=$AX34,$AY32=$AY34,$AZ34&gt;$AZ32),$AW34,$AW32)</f>
        <v>México</v>
      </c>
      <c r="BB32" s="1">
        <f>VLOOKUP($BA32,$W32:$AE35,9,FALSE)</f>
        <v>0</v>
      </c>
      <c r="BC32" s="1">
        <f>VLOOKUP($BA32,$W32:$AE35,8,FALSE)</f>
        <v>0</v>
      </c>
      <c r="BD32" s="1">
        <f>VLOOKUP($BA32,$W32:$AE35,6,FALSE)</f>
        <v>0</v>
      </c>
      <c r="BE32" s="1" t="str">
        <f>IF(AND($BB32=$BB35,$BC32=$BC35,$BD35&gt;$BD32),$BA35,$BA32)</f>
        <v>México</v>
      </c>
      <c r="BF32" s="1">
        <f>VLOOKUP($BE32,$W32:$AE35,9,FALSE)</f>
        <v>0</v>
      </c>
      <c r="BG32" s="1">
        <f>VLOOKUP($BE32,$W32:$AE35,8,FALSE)</f>
        <v>0</v>
      </c>
      <c r="BH32" s="1">
        <f>VLOOKUP($BE32,$W32:$AE35,6,FALSE)</f>
        <v>0</v>
      </c>
      <c r="BL32" s="1" t="str">
        <f>BE32</f>
        <v>México</v>
      </c>
      <c r="BM32" s="1">
        <f>VLOOKUP($BL32,$W32:$AE35,2,FALSE)</f>
        <v>0</v>
      </c>
      <c r="BN32" s="1">
        <f>VLOOKUP($BL32,$W32:$AE35,3,FALSE)</f>
        <v>0</v>
      </c>
      <c r="BO32" s="1">
        <f>VLOOKUP($BL32,$W32:$AE35,4,FALSE)</f>
        <v>0</v>
      </c>
      <c r="BP32" s="1">
        <f>VLOOKUP($BL32,$W32:$AE35,5,FALSE)</f>
        <v>0</v>
      </c>
      <c r="BQ32" s="1">
        <f>VLOOKUP($BL32,$W32:$AE35,6,FALSE)</f>
        <v>0</v>
      </c>
      <c r="BR32" s="1">
        <f>VLOOKUP($BL32,$W32:$AE35,7,FALSE)</f>
        <v>0</v>
      </c>
      <c r="BS32" s="1">
        <f>VLOOKUP($BL32,$W32:$AE35,8,FALSE)</f>
        <v>0</v>
      </c>
      <c r="BT32" s="1">
        <f>VLOOKUP($BL32,$W32:$AE35,9,FALSE)</f>
        <v>0</v>
      </c>
    </row>
    <row r="33" spans="1:72" ht="15" customHeight="1">
      <c r="A33" s="11">
        <v>26</v>
      </c>
      <c r="B33" s="32">
        <v>38885</v>
      </c>
      <c r="C33" s="33">
        <v>0.7083333333333334</v>
      </c>
      <c r="D33" s="35" t="s">
        <v>58</v>
      </c>
      <c r="E33" s="26"/>
      <c r="F33" s="26"/>
      <c r="G33" s="38" t="s">
        <v>56</v>
      </c>
      <c r="H33" s="11" t="s">
        <v>73</v>
      </c>
      <c r="I33" s="11" t="s">
        <v>13</v>
      </c>
      <c r="J33" s="1">
        <f t="shared" si="2"/>
      </c>
      <c r="K33" s="1">
        <f t="shared" si="1"/>
      </c>
      <c r="L33" s="47"/>
      <c r="M33" s="20" t="s">
        <v>43</v>
      </c>
      <c r="N33" s="20" t="s">
        <v>38</v>
      </c>
      <c r="O33" s="20" t="s">
        <v>11</v>
      </c>
      <c r="P33" s="20" t="s">
        <v>13</v>
      </c>
      <c r="Q33" s="20" t="s">
        <v>39</v>
      </c>
      <c r="R33" s="20" t="s">
        <v>40</v>
      </c>
      <c r="S33" s="20" t="s">
        <v>41</v>
      </c>
      <c r="T33" s="21" t="s">
        <v>44</v>
      </c>
      <c r="W33" s="1" t="s">
        <v>54</v>
      </c>
      <c r="X33" s="1">
        <f>COUNT(Irão_played)</f>
        <v>0</v>
      </c>
      <c r="Y33" s="1">
        <f>COUNTIF($J$8:$J$55,$W33)</f>
        <v>0</v>
      </c>
      <c r="Z33" s="1">
        <f>COUNTIF($K$8:$K$55,$W33)</f>
        <v>0</v>
      </c>
      <c r="AA33" s="1">
        <f>X33-Y33-Z33</f>
        <v>0</v>
      </c>
      <c r="AB33" s="1">
        <f>SUM(Irão_played)</f>
        <v>0</v>
      </c>
      <c r="AC33" s="1">
        <f>SUM(Irão_against)</f>
        <v>0</v>
      </c>
      <c r="AD33" s="1">
        <f>AB33-AC33</f>
        <v>0</v>
      </c>
      <c r="AE33" s="1">
        <f>Y33*3+AA33</f>
        <v>0</v>
      </c>
      <c r="AF33" s="1" t="str">
        <f>IF($AE33&lt;=$AE32,$W33,$W32)</f>
        <v>Irão</v>
      </c>
      <c r="AG33" s="1">
        <f>VLOOKUP($AF33,$W32:$AE35,9,FALSE)</f>
        <v>0</v>
      </c>
      <c r="AH33" s="1" t="str">
        <f>IF(AG33&gt;=AG35,AF33,AF35)</f>
        <v>Irão</v>
      </c>
      <c r="AI33" s="1">
        <f>VLOOKUP($AH33,$W32:$AE35,9,FALSE)</f>
        <v>0</v>
      </c>
      <c r="AJ33" s="1" t="str">
        <f>IF($AI33&gt;=$AI34,$AH33,$AH34)</f>
        <v>Irão</v>
      </c>
      <c r="AK33" s="1">
        <f>VLOOKUP($AJ33,$W32:$AE35,9,FALSE)</f>
        <v>0</v>
      </c>
      <c r="AL33" s="1">
        <f>VLOOKUP($AJ33,$W32:$AE35,8,FALSE)</f>
        <v>0</v>
      </c>
      <c r="AM33" s="1" t="str">
        <f>IF(AND($AK32=$AK33,$AL33&gt;$AL32),$AJ32,$AJ33)</f>
        <v>Irão</v>
      </c>
      <c r="AN33" s="1">
        <f>VLOOKUP($AM33,$W32:$AE35,9,FALSE)</f>
        <v>0</v>
      </c>
      <c r="AO33" s="1">
        <f>VLOOKUP($AM33,$W32:$AE35,8,FALSE)</f>
        <v>0</v>
      </c>
      <c r="AP33" s="1" t="str">
        <f>IF(AND($AN33=$AN35,$AO35&gt;$AO33),$AM35,$AM33)</f>
        <v>Irão</v>
      </c>
      <c r="AQ33" s="1">
        <f>VLOOKUP($AP33,$W32:$AE35,9,FALSE)</f>
        <v>0</v>
      </c>
      <c r="AR33" s="1">
        <f>VLOOKUP($AP33,$W32:$AE35,8,FALSE)</f>
        <v>0</v>
      </c>
      <c r="AS33" s="1" t="str">
        <f>IF(AND($AQ33=$AQ34,$AR34&gt;$AR33),$AP34,$AP33)</f>
        <v>Irão</v>
      </c>
      <c r="AT33" s="1">
        <f>VLOOKUP($AS33,$W32:$AE35,9,FALSE)</f>
        <v>0</v>
      </c>
      <c r="AU33" s="1">
        <f>VLOOKUP($AS33,$W32:$AE35,8,FALSE)</f>
        <v>0</v>
      </c>
      <c r="AV33" s="1">
        <f>VLOOKUP($AS33,$W32:$AE35,6,FALSE)</f>
        <v>0</v>
      </c>
      <c r="AW33" s="1" t="str">
        <f>IF(AND($AT32=$AT33,$AU32=$AU33,$AV33&gt;$AV32),$AS32,$AS33)</f>
        <v>Irão</v>
      </c>
      <c r="AX33" s="1">
        <f>VLOOKUP($AW33,$W32:$AE35,9,FALSE)</f>
        <v>0</v>
      </c>
      <c r="AY33" s="1">
        <f>VLOOKUP($AW33,$W32:$AE35,8,FALSE)</f>
        <v>0</v>
      </c>
      <c r="AZ33" s="1">
        <f>VLOOKUP($AW33,$W32:$AE35,6,FALSE)</f>
        <v>0</v>
      </c>
      <c r="BA33" s="1" t="str">
        <f>IF(AND($AX33=$AX35,$AY33=$AY35,$AZ35&gt;$AZ33),$AW35,$AW33)</f>
        <v>Irão</v>
      </c>
      <c r="BB33" s="1">
        <f>VLOOKUP($BA33,$W32:$AE35,9,FALSE)</f>
        <v>0</v>
      </c>
      <c r="BC33" s="1">
        <f>VLOOKUP($BA33,$W32:$AE35,8,FALSE)</f>
        <v>0</v>
      </c>
      <c r="BD33" s="1">
        <f>VLOOKUP($BA33,$W32:$AE35,6,FALSE)</f>
        <v>0</v>
      </c>
      <c r="BE33" s="1" t="str">
        <f>IF(AND($BB33=$BB34,$BC33=$BC34,$BD34&gt;$BD33),$BA34,$BA33)</f>
        <v>Irão</v>
      </c>
      <c r="BF33" s="1">
        <f>VLOOKUP($BE33,$W32:$AE35,9,FALSE)</f>
        <v>0</v>
      </c>
      <c r="BG33" s="1">
        <f>VLOOKUP($BE33,$W32:$AE35,8,FALSE)</f>
        <v>0</v>
      </c>
      <c r="BH33" s="1">
        <f>VLOOKUP($BE33,$W32:$AE35,6,FALSE)</f>
        <v>0</v>
      </c>
      <c r="BL33" s="1" t="str">
        <f>BE33</f>
        <v>Irão</v>
      </c>
      <c r="BM33" s="1">
        <f>VLOOKUP($BL33,$W32:$AE35,2,FALSE)</f>
        <v>0</v>
      </c>
      <c r="BN33" s="1">
        <f>VLOOKUP($BL33,$W32:$AE35,3,FALSE)</f>
        <v>0</v>
      </c>
      <c r="BO33" s="1">
        <f>VLOOKUP($BL33,$W32:$AE35,4,FALSE)</f>
        <v>0</v>
      </c>
      <c r="BP33" s="1">
        <f>VLOOKUP($BL33,$W32:$AE35,5,FALSE)</f>
        <v>0</v>
      </c>
      <c r="BQ33" s="1">
        <f>VLOOKUP($BL33,$W32:$AE35,6,FALSE)</f>
        <v>0</v>
      </c>
      <c r="BR33" s="1">
        <f>VLOOKUP($BL33,$W32:$AE35,7,FALSE)</f>
        <v>0</v>
      </c>
      <c r="BS33" s="1">
        <f>VLOOKUP($BL33,$W32:$AE35,8,FALSE)</f>
        <v>0</v>
      </c>
      <c r="BT33" s="1">
        <f>VLOOKUP($BL33,$W32:$AE35,9,FALSE)</f>
        <v>0</v>
      </c>
    </row>
    <row r="34" spans="1:72" ht="15" customHeight="1">
      <c r="A34" s="11">
        <v>27</v>
      </c>
      <c r="B34" s="32">
        <v>38886</v>
      </c>
      <c r="C34" s="33">
        <v>0.7083333333333334</v>
      </c>
      <c r="D34" s="35" t="s">
        <v>7</v>
      </c>
      <c r="E34" s="26"/>
      <c r="F34" s="26"/>
      <c r="G34" s="38" t="s">
        <v>59</v>
      </c>
      <c r="H34" s="11" t="s">
        <v>71</v>
      </c>
      <c r="I34" s="11" t="s">
        <v>17</v>
      </c>
      <c r="J34" s="1">
        <f t="shared" si="2"/>
      </c>
      <c r="K34" s="1">
        <f t="shared" si="1"/>
      </c>
      <c r="L34" s="12" t="str">
        <f aca="true" t="shared" si="6" ref="L34:T37">BL39</f>
        <v>Itália</v>
      </c>
      <c r="M34" s="13">
        <f t="shared" si="6"/>
        <v>0</v>
      </c>
      <c r="N34" s="13">
        <f t="shared" si="6"/>
        <v>0</v>
      </c>
      <c r="O34" s="13">
        <f t="shared" si="6"/>
        <v>0</v>
      </c>
      <c r="P34" s="13">
        <f t="shared" si="6"/>
        <v>0</v>
      </c>
      <c r="Q34" s="13">
        <f t="shared" si="6"/>
        <v>0</v>
      </c>
      <c r="R34" s="13">
        <f t="shared" si="6"/>
        <v>0</v>
      </c>
      <c r="S34" s="13">
        <f t="shared" si="6"/>
        <v>0</v>
      </c>
      <c r="T34" s="14">
        <f t="shared" si="6"/>
        <v>0</v>
      </c>
      <c r="W34" s="1" t="s">
        <v>55</v>
      </c>
      <c r="X34" s="1">
        <f>COUNT(Angola_played)</f>
        <v>0</v>
      </c>
      <c r="Y34" s="1">
        <f>COUNTIF($J$8:$J$55,$W34)</f>
        <v>0</v>
      </c>
      <c r="Z34" s="1">
        <f>COUNTIF($K$8:$K$55,$W34)</f>
        <v>0</v>
      </c>
      <c r="AA34" s="1">
        <f>X34-Y34-Z34</f>
        <v>0</v>
      </c>
      <c r="AB34" s="1">
        <f>SUM(Angola_played)</f>
        <v>0</v>
      </c>
      <c r="AC34" s="1">
        <f>SUM(Angola_against)</f>
        <v>0</v>
      </c>
      <c r="AD34" s="1">
        <f>AB34-AC34</f>
        <v>0</v>
      </c>
      <c r="AE34" s="1">
        <f>Y34*3+AA34</f>
        <v>0</v>
      </c>
      <c r="AF34" s="1" t="str">
        <f>IF($AE34&gt;=$AE35,$W34,$W35)</f>
        <v>Angola</v>
      </c>
      <c r="AG34" s="1">
        <f>VLOOKUP($AF34,$W32:$AE35,9,FALSE)</f>
        <v>0</v>
      </c>
      <c r="AH34" s="1" t="str">
        <f>IF($AG34&lt;=$AG32,$AF34,$AF32)</f>
        <v>Angola</v>
      </c>
      <c r="AI34" s="1">
        <f>VLOOKUP($AH34,$W32:$AE35,9,FALSE)</f>
        <v>0</v>
      </c>
      <c r="AJ34" s="1" t="str">
        <f>IF($AI34&lt;=$AI33,$AH34,$AH33)</f>
        <v>Angola</v>
      </c>
      <c r="AK34" s="1">
        <f>VLOOKUP($AJ34,$W32:$AE35,9,FALSE)</f>
        <v>0</v>
      </c>
      <c r="AL34" s="1">
        <f>VLOOKUP($AJ34,$W32:$AE35,8,FALSE)</f>
        <v>0</v>
      </c>
      <c r="AM34" s="1" t="str">
        <f>IF(AND($AK34=$AK35,$AL35&gt;$AL34),$AJ35,$AJ34)</f>
        <v>Angola</v>
      </c>
      <c r="AN34" s="1">
        <f>VLOOKUP($AM34,$W32:$AE35,9,FALSE)</f>
        <v>0</v>
      </c>
      <c r="AO34" s="1">
        <f>VLOOKUP($AM34,$W32:$AE35,8,FALSE)</f>
        <v>0</v>
      </c>
      <c r="AP34" s="1" t="str">
        <f>IF(AND($AN32=$AN34,$AO34&gt;$AO32),$AM32,$AM34)</f>
        <v>Angola</v>
      </c>
      <c r="AQ34" s="1">
        <f>VLOOKUP($AP34,$W32:$AE35,9,FALSE)</f>
        <v>0</v>
      </c>
      <c r="AR34" s="1">
        <f>VLOOKUP($AP34,$W32:$AE35,8,FALSE)</f>
        <v>0</v>
      </c>
      <c r="AS34" s="1" t="str">
        <f>IF(AND($AQ33=$AQ34,$AR34&gt;$AR33),$AP33,$AP34)</f>
        <v>Angola</v>
      </c>
      <c r="AT34" s="1">
        <f>VLOOKUP($AS34,$W32:$AE35,9,FALSE)</f>
        <v>0</v>
      </c>
      <c r="AU34" s="1">
        <f>VLOOKUP($AS34,$W32:$AE35,8,FALSE)</f>
        <v>0</v>
      </c>
      <c r="AV34" s="1">
        <f>VLOOKUP($AS34,$W32:$AE35,6,FALSE)</f>
        <v>0</v>
      </c>
      <c r="AW34" s="1" t="str">
        <f>IF(AND($AT34=$AT35,$AU34=$AU35,$AV35&gt;$AV34),$AS35,$AS34)</f>
        <v>Angola</v>
      </c>
      <c r="AX34" s="1">
        <f>VLOOKUP($AW34,$W32:$AE35,9,FALSE)</f>
        <v>0</v>
      </c>
      <c r="AY34" s="1">
        <f>VLOOKUP($AW34,$W32:$AE35,8,FALSE)</f>
        <v>0</v>
      </c>
      <c r="AZ34" s="1">
        <f>VLOOKUP($AW34,$W32:$AE35,6,FALSE)</f>
        <v>0</v>
      </c>
      <c r="BA34" s="1" t="str">
        <f>IF(AND($AX32=$AX34,$AY32=$AY34,$AZ33&gt;$AZ32),$AW32,$AW34)</f>
        <v>Angola</v>
      </c>
      <c r="BB34" s="1">
        <f>VLOOKUP($BA34,$W32:$AE35,9,FALSE)</f>
        <v>0</v>
      </c>
      <c r="BC34" s="1">
        <f>VLOOKUP($BA34,$W32:$AE35,8,FALSE)</f>
        <v>0</v>
      </c>
      <c r="BD34" s="1">
        <f>VLOOKUP($BA34,$W32:$AE35,6,FALSE)</f>
        <v>0</v>
      </c>
      <c r="BE34" s="1" t="str">
        <f>IF(AND($BB33=$BB34,$BC33=$BC34,$BD34&gt;$BD33),$BA33,$BA34)</f>
        <v>Angola</v>
      </c>
      <c r="BF34" s="1">
        <f>VLOOKUP($BE34,$W32:$AE35,9,FALSE)</f>
        <v>0</v>
      </c>
      <c r="BG34" s="1">
        <f>VLOOKUP($BE34,$W32:$AE35,8,FALSE)</f>
        <v>0</v>
      </c>
      <c r="BH34" s="1">
        <f>VLOOKUP($BE34,$W32:$AE35,6,FALSE)</f>
        <v>0</v>
      </c>
      <c r="BL34" s="1" t="str">
        <f>BE34</f>
        <v>Angola</v>
      </c>
      <c r="BM34" s="1">
        <f>VLOOKUP($BL34,$W32:$AE35,2,FALSE)</f>
        <v>0</v>
      </c>
      <c r="BN34" s="1">
        <f>VLOOKUP($BL34,$W32:$AE35,3,FALSE)</f>
        <v>0</v>
      </c>
      <c r="BO34" s="1">
        <f>VLOOKUP($BL34,$W32:$AE35,4,FALSE)</f>
        <v>0</v>
      </c>
      <c r="BP34" s="1">
        <f>VLOOKUP($BL34,$W32:$AE35,5,FALSE)</f>
        <v>0</v>
      </c>
      <c r="BQ34" s="1">
        <f>VLOOKUP($BL34,$W32:$AE35,6,FALSE)</f>
        <v>0</v>
      </c>
      <c r="BR34" s="1">
        <f>VLOOKUP($BL34,$W32:$AE35,7,FALSE)</f>
        <v>0</v>
      </c>
      <c r="BS34" s="1">
        <f>VLOOKUP($BL34,$W32:$AE35,8,FALSE)</f>
        <v>0</v>
      </c>
      <c r="BT34" s="1">
        <f>VLOOKUP($BL34,$W32:$AE35,9,FALSE)</f>
        <v>0</v>
      </c>
    </row>
    <row r="35" spans="1:72" ht="15" customHeight="1">
      <c r="A35" s="11">
        <v>28</v>
      </c>
      <c r="B35" s="32">
        <v>38886</v>
      </c>
      <c r="C35" s="33">
        <v>0.625</v>
      </c>
      <c r="D35" s="35" t="s">
        <v>24</v>
      </c>
      <c r="E35" s="26"/>
      <c r="F35" s="26"/>
      <c r="G35" s="38" t="s">
        <v>18</v>
      </c>
      <c r="H35" s="11" t="s">
        <v>72</v>
      </c>
      <c r="I35" s="11" t="s">
        <v>17</v>
      </c>
      <c r="J35" s="1">
        <f t="shared" si="2"/>
      </c>
      <c r="K35" s="1">
        <f t="shared" si="1"/>
      </c>
      <c r="L35" s="15" t="str">
        <f t="shared" si="6"/>
        <v>Gana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  <c r="Q35" s="11">
        <f t="shared" si="6"/>
        <v>0</v>
      </c>
      <c r="R35" s="11">
        <f t="shared" si="6"/>
        <v>0</v>
      </c>
      <c r="S35" s="11">
        <f t="shared" si="6"/>
        <v>0</v>
      </c>
      <c r="T35" s="16">
        <f t="shared" si="6"/>
        <v>0</v>
      </c>
      <c r="W35" s="1" t="s">
        <v>10</v>
      </c>
      <c r="X35" s="1">
        <f>COUNT(Portugal_played)</f>
        <v>0</v>
      </c>
      <c r="Y35" s="1">
        <f>COUNTIF($J$8:$J$55,$W35)</f>
        <v>0</v>
      </c>
      <c r="Z35" s="1">
        <f>COUNTIF($K$8:$K$55,$W35)</f>
        <v>0</v>
      </c>
      <c r="AA35" s="1">
        <f>X35-Y35-Z35</f>
        <v>0</v>
      </c>
      <c r="AB35" s="1">
        <f>SUM(Portugal_played)</f>
        <v>0</v>
      </c>
      <c r="AC35" s="1">
        <f>SUM(Portugal_against)</f>
        <v>0</v>
      </c>
      <c r="AD35" s="1">
        <f>AB35-AC35</f>
        <v>0</v>
      </c>
      <c r="AE35" s="1">
        <f>Y35*3+AA35</f>
        <v>0</v>
      </c>
      <c r="AF35" s="1" t="str">
        <f>IF($AE35&lt;=$AE34,$W35,$W34)</f>
        <v>Portugal</v>
      </c>
      <c r="AG35" s="1">
        <f>VLOOKUP($AF35,$W32:$AE35,9,FALSE)</f>
        <v>0</v>
      </c>
      <c r="AH35" s="1" t="str">
        <f>IF(AG35&lt;=AG33,AF35,AF33)</f>
        <v>Portugal</v>
      </c>
      <c r="AI35" s="1">
        <f>VLOOKUP($AH35,$W32:$AE35,9,FALSE)</f>
        <v>0</v>
      </c>
      <c r="AJ35" s="1" t="str">
        <f>IF($AI35&lt;=$AI32,$AH35,$AH32)</f>
        <v>Portugal</v>
      </c>
      <c r="AK35" s="1">
        <f>VLOOKUP($AJ35,$W32:$AE35,9,FALSE)</f>
        <v>0</v>
      </c>
      <c r="AL35" s="1">
        <f>VLOOKUP($AJ35,$W32:$AE35,8,FALSE)</f>
        <v>0</v>
      </c>
      <c r="AM35" s="1" t="str">
        <f>IF(AND($AK34=$AK35,$AL35&gt;$AL34),$AJ34,$AJ35)</f>
        <v>Portugal</v>
      </c>
      <c r="AN35" s="1">
        <f>VLOOKUP($AM35,$W32:$AE35,9,FALSE)</f>
        <v>0</v>
      </c>
      <c r="AO35" s="1">
        <f>VLOOKUP($AM35,$W32:$AE35,8,FALSE)</f>
        <v>0</v>
      </c>
      <c r="AP35" s="1" t="str">
        <f>IF(AND($AN33=$AN35,$AO35&gt;$AO33),$AM33,$AM35)</f>
        <v>Portugal</v>
      </c>
      <c r="AQ35" s="1">
        <f>VLOOKUP($AP35,$W32:$AE35,9,FALSE)</f>
        <v>0</v>
      </c>
      <c r="AR35" s="1">
        <f>VLOOKUP($AP35,$W32:$AE35,8,FALSE)</f>
        <v>0</v>
      </c>
      <c r="AS35" s="1" t="str">
        <f>IF(AND($AQ32=$AQ35,$AR35&gt;$AR32),$AP32,$AP35)</f>
        <v>Portugal</v>
      </c>
      <c r="AT35" s="1">
        <f>VLOOKUP($AS35,$W32:$AE35,9,FALSE)</f>
        <v>0</v>
      </c>
      <c r="AU35" s="1">
        <f>VLOOKUP($AS35,$W32:$AE35,8,FALSE)</f>
        <v>0</v>
      </c>
      <c r="AV35" s="1">
        <f>VLOOKUP($AS35,$W32:$AE35,6,FALSE)</f>
        <v>0</v>
      </c>
      <c r="AW35" s="1" t="str">
        <f>IF(AND($AT34=$AT35,$AU34=$AU35,$AV35&gt;$AV34),$AS34,$AS35)</f>
        <v>Portugal</v>
      </c>
      <c r="AX35" s="1">
        <f>VLOOKUP($AW35,$W32:$AE35,9,FALSE)</f>
        <v>0</v>
      </c>
      <c r="AY35" s="1">
        <f>VLOOKUP($AW35,$W32:$AE35,8,FALSE)</f>
        <v>0</v>
      </c>
      <c r="AZ35" s="1">
        <f>VLOOKUP($AW35,$W32:$AE35,6,FALSE)</f>
        <v>0</v>
      </c>
      <c r="BA35" s="1" t="str">
        <f>IF(AND($AX33=$AX35,$AY33=$AY35,$AZ35&gt;$AZ33),$AW33,$AW35)</f>
        <v>Portugal</v>
      </c>
      <c r="BB35" s="1">
        <f>VLOOKUP($BA35,$W32:$AE35,9,FALSE)</f>
        <v>0</v>
      </c>
      <c r="BC35" s="1">
        <f>VLOOKUP($BA35,$W32:$AE35,8,FALSE)</f>
        <v>0</v>
      </c>
      <c r="BD35" s="1">
        <f>VLOOKUP($BA35,$W32:$AE35,6,FALSE)</f>
        <v>0</v>
      </c>
      <c r="BE35" s="1" t="str">
        <f>IF(AND($BB32=$BB35,$BC32=$BC35,$BD35&gt;$BD32),$BA32,$BA35)</f>
        <v>Portugal</v>
      </c>
      <c r="BF35" s="1">
        <f>VLOOKUP($BE35,$W32:$AE35,9,FALSE)</f>
        <v>0</v>
      </c>
      <c r="BG35" s="1">
        <f>VLOOKUP($BE35,$W32:$AE35,8,FALSE)</f>
        <v>0</v>
      </c>
      <c r="BH35" s="1">
        <f>VLOOKUP($BE35,$W32:$AE35,6,FALSE)</f>
        <v>0</v>
      </c>
      <c r="BL35" s="1" t="str">
        <f>BE35</f>
        <v>Portugal</v>
      </c>
      <c r="BM35" s="1">
        <f>VLOOKUP($BL35,$W32:$AE35,2,FALSE)</f>
        <v>0</v>
      </c>
      <c r="BN35" s="1">
        <f>VLOOKUP($BL35,$W32:$AE35,3,FALSE)</f>
        <v>0</v>
      </c>
      <c r="BO35" s="1">
        <f>VLOOKUP($BL35,$W32:$AE35,4,FALSE)</f>
        <v>0</v>
      </c>
      <c r="BP35" s="1">
        <f>VLOOKUP($BL35,$W32:$AE35,5,FALSE)</f>
        <v>0</v>
      </c>
      <c r="BQ35" s="1">
        <f>VLOOKUP($BL35,$W32:$AE35,6,FALSE)</f>
        <v>0</v>
      </c>
      <c r="BR35" s="1">
        <f>VLOOKUP($BL35,$W32:$AE35,7,FALSE)</f>
        <v>0</v>
      </c>
      <c r="BS35" s="1">
        <f>VLOOKUP($BL35,$W32:$AE35,8,FALSE)</f>
        <v>0</v>
      </c>
      <c r="BT35" s="1">
        <f>VLOOKUP($BL35,$W32:$AE35,9,FALSE)</f>
        <v>0</v>
      </c>
    </row>
    <row r="36" spans="1:20" ht="15" customHeight="1">
      <c r="A36" s="11">
        <v>29</v>
      </c>
      <c r="B36" s="32">
        <v>38886</v>
      </c>
      <c r="C36" s="33">
        <v>0.8333333333333334</v>
      </c>
      <c r="D36" s="35" t="s">
        <v>2</v>
      </c>
      <c r="E36" s="26"/>
      <c r="F36" s="26"/>
      <c r="G36" s="38" t="s">
        <v>61</v>
      </c>
      <c r="H36" s="11" t="s">
        <v>70</v>
      </c>
      <c r="I36" s="11" t="s">
        <v>22</v>
      </c>
      <c r="J36" s="1">
        <f t="shared" si="2"/>
      </c>
      <c r="K36" s="1">
        <f t="shared" si="1"/>
      </c>
      <c r="L36" s="15" t="str">
        <f t="shared" si="6"/>
        <v>E.U.A.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6">
        <f t="shared" si="6"/>
        <v>0</v>
      </c>
    </row>
    <row r="37" spans="1:23" ht="15" customHeight="1">
      <c r="A37" s="11">
        <v>30</v>
      </c>
      <c r="B37" s="32">
        <v>38887</v>
      </c>
      <c r="C37" s="33">
        <v>0.5833333333333334</v>
      </c>
      <c r="D37" s="35" t="s">
        <v>62</v>
      </c>
      <c r="E37" s="26"/>
      <c r="F37" s="26"/>
      <c r="G37" s="38" t="s">
        <v>60</v>
      </c>
      <c r="H37" s="11" t="s">
        <v>69</v>
      </c>
      <c r="I37" s="11" t="s">
        <v>22</v>
      </c>
      <c r="J37" s="1">
        <f t="shared" si="2"/>
      </c>
      <c r="K37" s="1">
        <f t="shared" si="1"/>
      </c>
      <c r="L37" s="17" t="str">
        <f t="shared" si="6"/>
        <v>Rep.Checa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  <c r="Q37" s="18">
        <f t="shared" si="6"/>
        <v>0</v>
      </c>
      <c r="R37" s="18">
        <f t="shared" si="6"/>
        <v>0</v>
      </c>
      <c r="S37" s="18">
        <f t="shared" si="6"/>
        <v>0</v>
      </c>
      <c r="T37" s="19">
        <f t="shared" si="6"/>
        <v>0</v>
      </c>
      <c r="W37" s="1" t="s">
        <v>33</v>
      </c>
    </row>
    <row r="38" spans="1:30" ht="15" customHeight="1">
      <c r="A38" s="11">
        <v>31</v>
      </c>
      <c r="B38" s="32">
        <v>38887</v>
      </c>
      <c r="C38" s="33">
        <v>0.8333333333333334</v>
      </c>
      <c r="D38" s="35" t="s">
        <v>5</v>
      </c>
      <c r="E38" s="26"/>
      <c r="F38" s="26"/>
      <c r="G38" s="38" t="s">
        <v>25</v>
      </c>
      <c r="H38" s="11" t="s">
        <v>76</v>
      </c>
      <c r="I38" s="11" t="s">
        <v>23</v>
      </c>
      <c r="J38" s="1">
        <f t="shared" si="2"/>
      </c>
      <c r="K38" s="1">
        <f t="shared" si="1"/>
      </c>
      <c r="X38" s="1" t="s">
        <v>37</v>
      </c>
      <c r="Y38" s="1" t="s">
        <v>38</v>
      </c>
      <c r="Z38" s="1" t="s">
        <v>11</v>
      </c>
      <c r="AA38" s="1" t="s">
        <v>13</v>
      </c>
      <c r="AB38" s="1" t="s">
        <v>39</v>
      </c>
      <c r="AC38" s="1" t="s">
        <v>40</v>
      </c>
      <c r="AD38" s="1" t="s">
        <v>41</v>
      </c>
    </row>
    <row r="39" spans="1:72" ht="15" customHeight="1">
      <c r="A39" s="11">
        <v>32</v>
      </c>
      <c r="B39" s="32">
        <v>38887</v>
      </c>
      <c r="C39" s="33">
        <v>0.7083333333333334</v>
      </c>
      <c r="D39" s="35" t="s">
        <v>64</v>
      </c>
      <c r="E39" s="26"/>
      <c r="F39" s="26"/>
      <c r="G39" s="38" t="s">
        <v>63</v>
      </c>
      <c r="H39" s="11" t="s">
        <v>77</v>
      </c>
      <c r="I39" s="11" t="s">
        <v>23</v>
      </c>
      <c r="J39" s="1">
        <f t="shared" si="2"/>
      </c>
      <c r="K39" s="1">
        <f t="shared" si="1"/>
      </c>
      <c r="L39" s="46" t="s">
        <v>34</v>
      </c>
      <c r="M39" s="22"/>
      <c r="N39" s="22"/>
      <c r="O39" s="22"/>
      <c r="P39" s="22"/>
      <c r="Q39" s="22"/>
      <c r="R39" s="22"/>
      <c r="S39" s="22"/>
      <c r="T39" s="23"/>
      <c r="W39" s="1" t="s">
        <v>20</v>
      </c>
      <c r="X39" s="1">
        <f>COUNT(Itália_played)</f>
        <v>0</v>
      </c>
      <c r="Y39" s="1">
        <f>COUNTIF($J$8:$J$55,$W39)</f>
        <v>0</v>
      </c>
      <c r="Z39" s="1">
        <f>COUNTIF($K$8:$K$55,$W39)</f>
        <v>0</v>
      </c>
      <c r="AA39" s="1">
        <f>X39-Y39-Z39</f>
        <v>0</v>
      </c>
      <c r="AB39" s="1">
        <f>SUM(Itália_played)</f>
        <v>0</v>
      </c>
      <c r="AC39" s="1">
        <f>SUM(Itália_against)</f>
        <v>0</v>
      </c>
      <c r="AD39" s="1">
        <f>AB39-AC39</f>
        <v>0</v>
      </c>
      <c r="AE39" s="1">
        <f>Y39*3+AA39</f>
        <v>0</v>
      </c>
      <c r="AF39" s="1" t="str">
        <f>IF($AE39&gt;=$AE40,$W39,$W40)</f>
        <v>Itália</v>
      </c>
      <c r="AG39" s="1">
        <f>VLOOKUP($AF39,$W39:$AE42,9,FALSE)</f>
        <v>0</v>
      </c>
      <c r="AH39" s="1" t="str">
        <f>IF($AG39&gt;=$AG41,$AF39,$AF41)</f>
        <v>Itália</v>
      </c>
      <c r="AI39" s="1">
        <f>VLOOKUP($AH39,$W39:$AE42,9,FALSE)</f>
        <v>0</v>
      </c>
      <c r="AJ39" s="1" t="str">
        <f>IF($AI39&gt;=$AI42,$AH39,$AH42)</f>
        <v>Itália</v>
      </c>
      <c r="AK39" s="1">
        <f>VLOOKUP($AJ39,$W39:$AE42,9,FALSE)</f>
        <v>0</v>
      </c>
      <c r="AL39" s="1">
        <f>VLOOKUP($AJ39,$W39:$AE42,8,FALSE)</f>
        <v>0</v>
      </c>
      <c r="AM39" s="1" t="str">
        <f>IF(AND($AK39=$AK40,$AL40&gt;$AL39),$AJ40,$AJ39)</f>
        <v>Itália</v>
      </c>
      <c r="AN39" s="1">
        <f>VLOOKUP($AM39,$W39:$AE42,9,FALSE)</f>
        <v>0</v>
      </c>
      <c r="AO39" s="1">
        <f>VLOOKUP($AM39,$W39:$AE42,8,FALSE)</f>
        <v>0</v>
      </c>
      <c r="AP39" s="1" t="str">
        <f>IF(AND($AN39=$AN41,$AO41&gt;$AO39),$AM41,$AM39)</f>
        <v>Itália</v>
      </c>
      <c r="AQ39" s="1">
        <f>VLOOKUP($AP39,$W39:$AE42,9,FALSE)</f>
        <v>0</v>
      </c>
      <c r="AR39" s="1">
        <f>VLOOKUP($AP39,$W39:$AE42,8,FALSE)</f>
        <v>0</v>
      </c>
      <c r="AS39" s="1" t="str">
        <f>IF(AND($AQ39=$AQ42,$AR42&gt;$AR39),$AP42,$AP39)</f>
        <v>Itália</v>
      </c>
      <c r="AT39" s="1">
        <f>VLOOKUP($AS39,$W39:$AE42,9,FALSE)</f>
        <v>0</v>
      </c>
      <c r="AU39" s="1">
        <f>VLOOKUP($AS39,$W39:$AE42,8,FALSE)</f>
        <v>0</v>
      </c>
      <c r="AV39" s="1">
        <f>VLOOKUP($AS39,$W39:$AE42,6,FALSE)</f>
        <v>0</v>
      </c>
      <c r="AW39" s="1" t="str">
        <f>IF(AND($AT39=$AT40,$AU39=$AU40,$AV40&gt;$AV39),$AS40,$AS39)</f>
        <v>Itália</v>
      </c>
      <c r="AX39" s="1">
        <f>VLOOKUP($AW39,$W39:$AE42,9,FALSE)</f>
        <v>0</v>
      </c>
      <c r="AY39" s="1">
        <f>VLOOKUP($AW39,$W39:$AE42,8,FALSE)</f>
        <v>0</v>
      </c>
      <c r="AZ39" s="1">
        <f>VLOOKUP($AW39,$W39:$AE42,6,FALSE)</f>
        <v>0</v>
      </c>
      <c r="BA39" s="1" t="str">
        <f>IF(AND($AX39=$AX41,$AY39=$AY41,$AZ41&gt;$AZ39),$AW41,$AW39)</f>
        <v>Itália</v>
      </c>
      <c r="BB39" s="1">
        <f>VLOOKUP($BA39,$W39:$AE42,9,FALSE)</f>
        <v>0</v>
      </c>
      <c r="BC39" s="1">
        <f>VLOOKUP($BA39,$W39:$AE42,8,FALSE)</f>
        <v>0</v>
      </c>
      <c r="BD39" s="1">
        <f>VLOOKUP($BA39,$W39:$AE42,6,FALSE)</f>
        <v>0</v>
      </c>
      <c r="BE39" s="1" t="str">
        <f>IF(AND($BB39=$BB42,$BC39=$BC42,$BD42&gt;$BD39),$BA42,$BA39)</f>
        <v>Itália</v>
      </c>
      <c r="BF39" s="1">
        <f>VLOOKUP($BE39,$W39:$AE42,9,FALSE)</f>
        <v>0</v>
      </c>
      <c r="BG39" s="1">
        <f>VLOOKUP($BE39,$W39:$AE42,8,FALSE)</f>
        <v>0</v>
      </c>
      <c r="BH39" s="1">
        <f>VLOOKUP($BE39,$W39:$AE42,6,FALSE)</f>
        <v>0</v>
      </c>
      <c r="BL39" s="1" t="str">
        <f>BE39</f>
        <v>Itália</v>
      </c>
      <c r="BM39" s="1">
        <f>VLOOKUP($BL39,$W39:$AE42,2,FALSE)</f>
        <v>0</v>
      </c>
      <c r="BN39" s="1">
        <f>VLOOKUP($BL39,$W39:$AE42,3,FALSE)</f>
        <v>0</v>
      </c>
      <c r="BO39" s="1">
        <f>VLOOKUP($BL39,$W39:$AE42,4,FALSE)</f>
        <v>0</v>
      </c>
      <c r="BP39" s="1">
        <f>VLOOKUP($BL39,$W39:$AE42,5,FALSE)</f>
        <v>0</v>
      </c>
      <c r="BQ39" s="1">
        <f>VLOOKUP($BL39,$W39:$AE42,6,FALSE)</f>
        <v>0</v>
      </c>
      <c r="BR39" s="1">
        <f>VLOOKUP($BL39,$W39:$AE42,7,FALSE)</f>
        <v>0</v>
      </c>
      <c r="BS39" s="1">
        <f>VLOOKUP($BL39,$W39:$AE42,8,FALSE)</f>
        <v>0</v>
      </c>
      <c r="BT39" s="1">
        <f>VLOOKUP($BL39,$W39:$AE42,9,FALSE)</f>
        <v>0</v>
      </c>
    </row>
    <row r="40" spans="1:72" ht="15" customHeight="1">
      <c r="A40" s="11">
        <v>33</v>
      </c>
      <c r="B40" s="32">
        <v>38888</v>
      </c>
      <c r="C40" s="33">
        <v>0.625</v>
      </c>
      <c r="D40" s="35" t="s">
        <v>21</v>
      </c>
      <c r="E40" s="26"/>
      <c r="F40" s="26"/>
      <c r="G40" s="38" t="s">
        <v>12</v>
      </c>
      <c r="H40" s="11" t="s">
        <v>75</v>
      </c>
      <c r="I40" s="11" t="s">
        <v>3</v>
      </c>
      <c r="J40" s="1">
        <f t="shared" si="2"/>
      </c>
      <c r="K40" s="1">
        <f t="shared" si="1"/>
      </c>
      <c r="L40" s="47"/>
      <c r="M40" s="20" t="s">
        <v>43</v>
      </c>
      <c r="N40" s="20" t="s">
        <v>38</v>
      </c>
      <c r="O40" s="20" t="s">
        <v>11</v>
      </c>
      <c r="P40" s="20" t="s">
        <v>13</v>
      </c>
      <c r="Q40" s="20" t="s">
        <v>39</v>
      </c>
      <c r="R40" s="20" t="s">
        <v>40</v>
      </c>
      <c r="S40" s="20" t="s">
        <v>41</v>
      </c>
      <c r="T40" s="21" t="s">
        <v>44</v>
      </c>
      <c r="W40" s="1" t="s">
        <v>56</v>
      </c>
      <c r="X40" s="1">
        <f>COUNT(Gana_played)</f>
        <v>0</v>
      </c>
      <c r="Y40" s="1">
        <f>COUNTIF($J$8:$J$55,$W40)</f>
        <v>0</v>
      </c>
      <c r="Z40" s="1">
        <f>COUNTIF($K$8:$K$55,$W40)</f>
        <v>0</v>
      </c>
      <c r="AA40" s="1">
        <f>X40-Y40-Z40</f>
        <v>0</v>
      </c>
      <c r="AB40" s="1">
        <f>SUM(Gana_played)</f>
        <v>0</v>
      </c>
      <c r="AC40" s="1">
        <f>SUM(Gana_against)</f>
        <v>0</v>
      </c>
      <c r="AD40" s="1">
        <f>AB40-AC40</f>
        <v>0</v>
      </c>
      <c r="AE40" s="1">
        <f>Y40*3+AA40</f>
        <v>0</v>
      </c>
      <c r="AF40" s="1" t="str">
        <f>IF($AE40&lt;=$AE39,$W40,$W39)</f>
        <v>Gana</v>
      </c>
      <c r="AG40" s="1">
        <f>VLOOKUP($AF40,$W39:$AE42,9,FALSE)</f>
        <v>0</v>
      </c>
      <c r="AH40" s="1" t="str">
        <f>IF(AG40&gt;=AG42,AF40,AF42)</f>
        <v>Gana</v>
      </c>
      <c r="AI40" s="1">
        <f>VLOOKUP($AH40,$W39:$AE42,9,FALSE)</f>
        <v>0</v>
      </c>
      <c r="AJ40" s="1" t="str">
        <f>IF($AI40&gt;=$AI41,$AH40,$AH41)</f>
        <v>Gana</v>
      </c>
      <c r="AK40" s="1">
        <f>VLOOKUP($AJ40,$W39:$AE42,9,FALSE)</f>
        <v>0</v>
      </c>
      <c r="AL40" s="1">
        <f>VLOOKUP($AJ40,$W39:$AE42,8,FALSE)</f>
        <v>0</v>
      </c>
      <c r="AM40" s="1" t="str">
        <f>IF(AND($AK39=$AK40,$AL40&gt;$AL39),$AJ39,$AJ40)</f>
        <v>Gana</v>
      </c>
      <c r="AN40" s="1">
        <f>VLOOKUP($AM40,$W39:$AE42,9,FALSE)</f>
        <v>0</v>
      </c>
      <c r="AO40" s="1">
        <f>VLOOKUP($AM40,$W39:$AE42,8,FALSE)</f>
        <v>0</v>
      </c>
      <c r="AP40" s="1" t="str">
        <f>IF(AND($AN40=$AN42,$AO42&gt;$AO40),$AM42,$AM40)</f>
        <v>Gana</v>
      </c>
      <c r="AQ40" s="1">
        <f>VLOOKUP($AP40,$W39:$AE42,9,FALSE)</f>
        <v>0</v>
      </c>
      <c r="AR40" s="1">
        <f>VLOOKUP($AP40,$W39:$AE42,8,FALSE)</f>
        <v>0</v>
      </c>
      <c r="AS40" s="1" t="str">
        <f>IF(AND($AQ40=$AQ41,$AR41&gt;$AR40),$AP41,$AP40)</f>
        <v>Gana</v>
      </c>
      <c r="AT40" s="1">
        <f>VLOOKUP($AS40,$W39:$AE42,9,FALSE)</f>
        <v>0</v>
      </c>
      <c r="AU40" s="1">
        <f>VLOOKUP($AS40,$W39:$AE42,8,FALSE)</f>
        <v>0</v>
      </c>
      <c r="AV40" s="1">
        <f>VLOOKUP($AS40,$W39:$AE42,6,FALSE)</f>
        <v>0</v>
      </c>
      <c r="AW40" s="1" t="str">
        <f>IF(AND($AT39=$AT40,$AU39=$AU40,$AV40&gt;$AV39),$AS39,$AS40)</f>
        <v>Gana</v>
      </c>
      <c r="AX40" s="1">
        <f>VLOOKUP($AW40,$W39:$AE42,9,FALSE)</f>
        <v>0</v>
      </c>
      <c r="AY40" s="1">
        <f>VLOOKUP($AW40,$W39:$AE42,8,FALSE)</f>
        <v>0</v>
      </c>
      <c r="AZ40" s="1">
        <f>VLOOKUP($AW40,$W39:$AE42,6,FALSE)</f>
        <v>0</v>
      </c>
      <c r="BA40" s="1" t="str">
        <f>IF(AND($AX40=$AX42,$AY40=$AY42,$AZ42&gt;$AZ40),$AW42,$AW40)</f>
        <v>Gana</v>
      </c>
      <c r="BB40" s="1">
        <f>VLOOKUP($BA40,$W39:$AE42,9,FALSE)</f>
        <v>0</v>
      </c>
      <c r="BC40" s="1">
        <f>VLOOKUP($BA40,$W39:$AE42,8,FALSE)</f>
        <v>0</v>
      </c>
      <c r="BD40" s="1">
        <f>VLOOKUP($BA40,$W39:$AE42,6,FALSE)</f>
        <v>0</v>
      </c>
      <c r="BE40" s="1" t="str">
        <f>IF(AND($BB40=$BB41,$BC40=$BC41,$BD41&gt;$BD40),$BA41,$BA40)</f>
        <v>Gana</v>
      </c>
      <c r="BF40" s="1">
        <f>VLOOKUP($BE40,$W39:$AE42,9,FALSE)</f>
        <v>0</v>
      </c>
      <c r="BG40" s="1">
        <f>VLOOKUP($BE40,$W39:$AE42,8,FALSE)</f>
        <v>0</v>
      </c>
      <c r="BH40" s="1">
        <f>VLOOKUP($BE40,$W39:$AE42,6,FALSE)</f>
        <v>0</v>
      </c>
      <c r="BL40" s="1" t="str">
        <f>BE40</f>
        <v>Gana</v>
      </c>
      <c r="BM40" s="1">
        <f>VLOOKUP($BL40,$W39:$AE42,2,FALSE)</f>
        <v>0</v>
      </c>
      <c r="BN40" s="1">
        <f>VLOOKUP($BL40,$W39:$AE42,3,FALSE)</f>
        <v>0</v>
      </c>
      <c r="BO40" s="1">
        <f>VLOOKUP($BL40,$W39:$AE42,4,FALSE)</f>
        <v>0</v>
      </c>
      <c r="BP40" s="1">
        <f>VLOOKUP($BL40,$W39:$AE42,5,FALSE)</f>
        <v>0</v>
      </c>
      <c r="BQ40" s="1">
        <f>VLOOKUP($BL40,$W39:$AE42,6,FALSE)</f>
        <v>0</v>
      </c>
      <c r="BR40" s="1">
        <f>VLOOKUP($BL40,$W39:$AE42,7,FALSE)</f>
        <v>0</v>
      </c>
      <c r="BS40" s="1">
        <f>VLOOKUP($BL40,$W39:$AE42,8,FALSE)</f>
        <v>0</v>
      </c>
      <c r="BT40" s="1">
        <f>VLOOKUP($BL40,$W39:$AE42,9,FALSE)</f>
        <v>0</v>
      </c>
    </row>
    <row r="41" spans="1:72" ht="15" customHeight="1">
      <c r="A41" s="11">
        <v>34</v>
      </c>
      <c r="B41" s="32">
        <v>38888</v>
      </c>
      <c r="C41" s="33">
        <v>0.625</v>
      </c>
      <c r="D41" s="36" t="s">
        <v>79</v>
      </c>
      <c r="E41" s="26"/>
      <c r="F41" s="26"/>
      <c r="G41" s="38" t="s">
        <v>9</v>
      </c>
      <c r="H41" s="11" t="s">
        <v>74</v>
      </c>
      <c r="I41" s="11" t="s">
        <v>3</v>
      </c>
      <c r="J41" s="1">
        <f t="shared" si="2"/>
      </c>
      <c r="K41" s="1">
        <f t="shared" si="1"/>
      </c>
      <c r="L41" s="12" t="str">
        <f aca="true" t="shared" si="7" ref="L41:T44">BL46</f>
        <v>Brasil</v>
      </c>
      <c r="M41" s="13">
        <f t="shared" si="7"/>
        <v>0</v>
      </c>
      <c r="N41" s="13">
        <f t="shared" si="7"/>
        <v>0</v>
      </c>
      <c r="O41" s="13">
        <f t="shared" si="7"/>
        <v>0</v>
      </c>
      <c r="P41" s="13">
        <f t="shared" si="7"/>
        <v>0</v>
      </c>
      <c r="Q41" s="13">
        <f t="shared" si="7"/>
        <v>0</v>
      </c>
      <c r="R41" s="13">
        <f t="shared" si="7"/>
        <v>0</v>
      </c>
      <c r="S41" s="13">
        <f t="shared" si="7"/>
        <v>0</v>
      </c>
      <c r="T41" s="14">
        <f t="shared" si="7"/>
        <v>0</v>
      </c>
      <c r="W41" s="3" t="s">
        <v>57</v>
      </c>
      <c r="X41" s="1">
        <f>COUNT(EUA_played)</f>
        <v>0</v>
      </c>
      <c r="Y41" s="1">
        <f>COUNTIF($J$8:$J$55,$W41)</f>
        <v>0</v>
      </c>
      <c r="Z41" s="1">
        <f>COUNTIF($K$8:$K$55,$W41)</f>
        <v>0</v>
      </c>
      <c r="AA41" s="1">
        <f>X41-Y41-Z41</f>
        <v>0</v>
      </c>
      <c r="AB41" s="1">
        <f>SUM(EUA_played)</f>
        <v>0</v>
      </c>
      <c r="AC41" s="1">
        <f>SUM(EUA_against)</f>
        <v>0</v>
      </c>
      <c r="AD41" s="1">
        <f>AB41-AC41</f>
        <v>0</v>
      </c>
      <c r="AE41" s="1">
        <f>Y41*3+AA41</f>
        <v>0</v>
      </c>
      <c r="AF41" s="1" t="str">
        <f>IF($AE41&gt;=$AE42,$W41,$W42)</f>
        <v>E.U.A.</v>
      </c>
      <c r="AG41" s="1">
        <f>VLOOKUP($AF41,$W39:$AE42,9,FALSE)</f>
        <v>0</v>
      </c>
      <c r="AH41" s="1" t="str">
        <f>IF($AG41&lt;=$AG39,$AF41,$AF39)</f>
        <v>E.U.A.</v>
      </c>
      <c r="AI41" s="1">
        <f>VLOOKUP($AH41,$W39:$AE42,9,FALSE)</f>
        <v>0</v>
      </c>
      <c r="AJ41" s="1" t="str">
        <f>IF($AI41&lt;=$AI40,$AH41,$AH40)</f>
        <v>E.U.A.</v>
      </c>
      <c r="AK41" s="1">
        <f>VLOOKUP($AJ41,$W39:$AE42,9,FALSE)</f>
        <v>0</v>
      </c>
      <c r="AL41" s="1">
        <f>VLOOKUP($AJ41,$W39:$AE42,8,FALSE)</f>
        <v>0</v>
      </c>
      <c r="AM41" s="1" t="str">
        <f>IF(AND($AK41=$AK42,$AL42&gt;$AL41),$AJ42,$AJ41)</f>
        <v>E.U.A.</v>
      </c>
      <c r="AN41" s="1">
        <f>VLOOKUP($AM41,$W39:$AE42,9,FALSE)</f>
        <v>0</v>
      </c>
      <c r="AO41" s="1">
        <f>VLOOKUP($AM41,$W39:$AE42,8,FALSE)</f>
        <v>0</v>
      </c>
      <c r="AP41" s="1" t="str">
        <f>IF(AND($AN39=$AN41,$AO41&gt;$AO39),$AM39,$AM41)</f>
        <v>E.U.A.</v>
      </c>
      <c r="AQ41" s="1">
        <f>VLOOKUP($AP41,$W39:$AE42,9,FALSE)</f>
        <v>0</v>
      </c>
      <c r="AR41" s="1">
        <f>VLOOKUP($AP41,$W39:$AE42,8,FALSE)</f>
        <v>0</v>
      </c>
      <c r="AS41" s="1" t="str">
        <f>IF(AND($AQ40=$AQ41,$AR41&gt;$AR40),$AP40,$AP41)</f>
        <v>E.U.A.</v>
      </c>
      <c r="AT41" s="1">
        <f>VLOOKUP($AS41,$W39:$AE42,9,FALSE)</f>
        <v>0</v>
      </c>
      <c r="AU41" s="1">
        <f>VLOOKUP($AS41,$W39:$AE42,8,FALSE)</f>
        <v>0</v>
      </c>
      <c r="AV41" s="1">
        <f>VLOOKUP($AS41,$W39:$AE42,6,FALSE)</f>
        <v>0</v>
      </c>
      <c r="AW41" s="1" t="str">
        <f>IF(AND($AT41=$AT42,$AU41=$AU42,$AV42&gt;$AV41),$AS42,$AS41)</f>
        <v>E.U.A.</v>
      </c>
      <c r="AX41" s="1">
        <f>VLOOKUP($AW41,$W39:$AE42,9,FALSE)</f>
        <v>0</v>
      </c>
      <c r="AY41" s="1">
        <f>VLOOKUP($AW41,$W39:$AE42,8,FALSE)</f>
        <v>0</v>
      </c>
      <c r="AZ41" s="1">
        <f>VLOOKUP($AW41,$W39:$AE42,6,FALSE)</f>
        <v>0</v>
      </c>
      <c r="BA41" s="1" t="str">
        <f>IF(AND($AX39=$AX41,$AY39=$AY41,$AZ40&gt;$AZ39),$AW39,$AW41)</f>
        <v>E.U.A.</v>
      </c>
      <c r="BB41" s="1">
        <f>VLOOKUP($BA41,$W39:$AE42,9,FALSE)</f>
        <v>0</v>
      </c>
      <c r="BC41" s="1">
        <f>VLOOKUP($BA41,$W39:$AE42,8,FALSE)</f>
        <v>0</v>
      </c>
      <c r="BD41" s="1">
        <f>VLOOKUP($BA41,$W39:$AE42,6,FALSE)</f>
        <v>0</v>
      </c>
      <c r="BE41" s="1" t="str">
        <f>IF(AND($BB40=$BB41,$BC40=$BC41,$BD41&gt;$BD40),$BA40,$BA41)</f>
        <v>E.U.A.</v>
      </c>
      <c r="BF41" s="1">
        <f>VLOOKUP($BE41,$W39:$AE42,9,FALSE)</f>
        <v>0</v>
      </c>
      <c r="BG41" s="1">
        <f>VLOOKUP($BE41,$W39:$AE42,8,FALSE)</f>
        <v>0</v>
      </c>
      <c r="BH41" s="1">
        <f>VLOOKUP($BE41,$W39:$AE42,6,FALSE)</f>
        <v>0</v>
      </c>
      <c r="BL41" s="1" t="str">
        <f>BE41</f>
        <v>E.U.A.</v>
      </c>
      <c r="BM41" s="1">
        <f>VLOOKUP($BL41,$W39:$AE42,2,FALSE)</f>
        <v>0</v>
      </c>
      <c r="BN41" s="1">
        <f>VLOOKUP($BL41,$W39:$AE42,3,FALSE)</f>
        <v>0</v>
      </c>
      <c r="BO41" s="1">
        <f>VLOOKUP($BL41,$W39:$AE42,4,FALSE)</f>
        <v>0</v>
      </c>
      <c r="BP41" s="1">
        <f>VLOOKUP($BL41,$W39:$AE42,5,FALSE)</f>
        <v>0</v>
      </c>
      <c r="BQ41" s="1">
        <f>VLOOKUP($BL41,$W39:$AE42,6,FALSE)</f>
        <v>0</v>
      </c>
      <c r="BR41" s="1">
        <f>VLOOKUP($BL41,$W39:$AE42,7,FALSE)</f>
        <v>0</v>
      </c>
      <c r="BS41" s="1">
        <f>VLOOKUP($BL41,$W39:$AE42,8,FALSE)</f>
        <v>0</v>
      </c>
      <c r="BT41" s="1">
        <f>VLOOKUP($BL41,$W39:$AE42,9,FALSE)</f>
        <v>0</v>
      </c>
    </row>
    <row r="42" spans="1:72" ht="15" customHeight="1">
      <c r="A42" s="11">
        <v>35</v>
      </c>
      <c r="B42" s="32">
        <v>38888</v>
      </c>
      <c r="C42" s="33">
        <v>0.8333333333333334</v>
      </c>
      <c r="D42" s="35" t="s">
        <v>16</v>
      </c>
      <c r="E42" s="26"/>
      <c r="F42" s="26"/>
      <c r="G42" s="38" t="s">
        <v>14</v>
      </c>
      <c r="H42" s="11" t="s">
        <v>73</v>
      </c>
      <c r="I42" s="11" t="s">
        <v>6</v>
      </c>
      <c r="J42" s="1">
        <f t="shared" si="2"/>
      </c>
      <c r="K42" s="1">
        <f t="shared" si="1"/>
      </c>
      <c r="L42" s="15" t="str">
        <f t="shared" si="7"/>
        <v>Croácia</v>
      </c>
      <c r="M42" s="11">
        <f t="shared" si="7"/>
        <v>0</v>
      </c>
      <c r="N42" s="11">
        <f t="shared" si="7"/>
        <v>0</v>
      </c>
      <c r="O42" s="11">
        <f t="shared" si="7"/>
        <v>0</v>
      </c>
      <c r="P42" s="11">
        <f t="shared" si="7"/>
        <v>0</v>
      </c>
      <c r="Q42" s="11">
        <f t="shared" si="7"/>
        <v>0</v>
      </c>
      <c r="R42" s="11">
        <f t="shared" si="7"/>
        <v>0</v>
      </c>
      <c r="S42" s="11">
        <f t="shared" si="7"/>
        <v>0</v>
      </c>
      <c r="T42" s="16">
        <f t="shared" si="7"/>
        <v>0</v>
      </c>
      <c r="W42" s="1" t="s">
        <v>58</v>
      </c>
      <c r="X42" s="1">
        <f>COUNT(Rep.Checa_played)</f>
        <v>0</v>
      </c>
      <c r="Y42" s="1">
        <f>COUNTIF($J$8:$J$55,$W42)</f>
        <v>0</v>
      </c>
      <c r="Z42" s="1">
        <f>COUNTIF($K$8:$K$55,$W42)</f>
        <v>0</v>
      </c>
      <c r="AA42" s="1">
        <f>X42-Y42-Z42</f>
        <v>0</v>
      </c>
      <c r="AB42" s="1">
        <f>SUM(Rep.Checa_played)</f>
        <v>0</v>
      </c>
      <c r="AC42" s="1">
        <f>SUM(Rep.Checa_against)</f>
        <v>0</v>
      </c>
      <c r="AD42" s="1">
        <f>AB42-AC42</f>
        <v>0</v>
      </c>
      <c r="AE42" s="1">
        <f>Y42*3+AA42</f>
        <v>0</v>
      </c>
      <c r="AF42" s="1" t="str">
        <f>IF($AE42&lt;=$AE41,$W42,$W41)</f>
        <v>Rep.Checa</v>
      </c>
      <c r="AG42" s="1">
        <f>VLOOKUP($AF42,$W39:$AE42,9,FALSE)</f>
        <v>0</v>
      </c>
      <c r="AH42" s="1" t="str">
        <f>IF(AG42&lt;=AG40,AF42,AF40)</f>
        <v>Rep.Checa</v>
      </c>
      <c r="AI42" s="1">
        <f>VLOOKUP($AH42,$W39:$AE42,9,FALSE)</f>
        <v>0</v>
      </c>
      <c r="AJ42" s="1" t="str">
        <f>IF($AI42&lt;=$AI39,$AH42,$AH39)</f>
        <v>Rep.Checa</v>
      </c>
      <c r="AK42" s="1">
        <f>VLOOKUP($AJ42,$W39:$AE42,9,FALSE)</f>
        <v>0</v>
      </c>
      <c r="AL42" s="1">
        <f>VLOOKUP($AJ42,$W39:$AE42,8,FALSE)</f>
        <v>0</v>
      </c>
      <c r="AM42" s="1" t="str">
        <f>IF(AND($AK41=$AK42,$AL42&gt;$AL41),$AJ41,$AJ42)</f>
        <v>Rep.Checa</v>
      </c>
      <c r="AN42" s="1">
        <f>VLOOKUP($AM42,$W39:$AE42,9,FALSE)</f>
        <v>0</v>
      </c>
      <c r="AO42" s="1">
        <f>VLOOKUP($AM42,$W39:$AE42,8,FALSE)</f>
        <v>0</v>
      </c>
      <c r="AP42" s="1" t="str">
        <f>IF(AND($AN40=$AN42,$AO42&gt;$AO40),$AM40,$AM42)</f>
        <v>Rep.Checa</v>
      </c>
      <c r="AQ42" s="1">
        <f>VLOOKUP($AP42,$W39:$AE42,9,FALSE)</f>
        <v>0</v>
      </c>
      <c r="AR42" s="1">
        <f>VLOOKUP($AP42,$W39:$AE42,8,FALSE)</f>
        <v>0</v>
      </c>
      <c r="AS42" s="1" t="str">
        <f>IF(AND($AQ39=$AQ42,$AR42&gt;$AR39),$AP39,$AP42)</f>
        <v>Rep.Checa</v>
      </c>
      <c r="AT42" s="1">
        <f>VLOOKUP($AS42,$W39:$AE42,9,FALSE)</f>
        <v>0</v>
      </c>
      <c r="AU42" s="1">
        <f>VLOOKUP($AS42,$W39:$AE42,8,FALSE)</f>
        <v>0</v>
      </c>
      <c r="AV42" s="1">
        <f>VLOOKUP($AS42,$W39:$AE42,6,FALSE)</f>
        <v>0</v>
      </c>
      <c r="AW42" s="1" t="str">
        <f>IF(AND($AT41=$AT42,$AU41=$AU42,$AV42&gt;$AV41),$AS41,$AS42)</f>
        <v>Rep.Checa</v>
      </c>
      <c r="AX42" s="1">
        <f>VLOOKUP($AW42,$W39:$AE42,9,FALSE)</f>
        <v>0</v>
      </c>
      <c r="AY42" s="1">
        <f>VLOOKUP($AW42,$W39:$AE42,8,FALSE)</f>
        <v>0</v>
      </c>
      <c r="AZ42" s="1">
        <f>VLOOKUP($AW42,$W39:$AE42,6,FALSE)</f>
        <v>0</v>
      </c>
      <c r="BA42" s="1" t="str">
        <f>IF(AND($AX40=$AX42,$AY40=$AY42,$AZ42&gt;$AZ40),$AW40,$AW42)</f>
        <v>Rep.Checa</v>
      </c>
      <c r="BB42" s="1">
        <f>VLOOKUP($BA42,$W39:$AE42,9,FALSE)</f>
        <v>0</v>
      </c>
      <c r="BC42" s="1">
        <f>VLOOKUP($BA42,$W39:$AE42,8,FALSE)</f>
        <v>0</v>
      </c>
      <c r="BD42" s="1">
        <f>VLOOKUP($BA42,$W39:$AE42,6,FALSE)</f>
        <v>0</v>
      </c>
      <c r="BE42" s="1" t="str">
        <f>IF(AND($BB39=$BB42,$BC39=$BC42,$BD42&gt;$BD39),$BA39,$BA42)</f>
        <v>Rep.Checa</v>
      </c>
      <c r="BF42" s="1">
        <f>VLOOKUP($BE42,$W39:$AE42,9,FALSE)</f>
        <v>0</v>
      </c>
      <c r="BG42" s="1">
        <f>VLOOKUP($BE42,$W39:$AE42,8,FALSE)</f>
        <v>0</v>
      </c>
      <c r="BH42" s="1">
        <f>VLOOKUP($BE42,$W39:$AE42,6,FALSE)</f>
        <v>0</v>
      </c>
      <c r="BL42" s="1" t="str">
        <f>BE42</f>
        <v>Rep.Checa</v>
      </c>
      <c r="BM42" s="1">
        <f>VLOOKUP($BL42,$W39:$AE42,2,FALSE)</f>
        <v>0</v>
      </c>
      <c r="BN42" s="1">
        <f>VLOOKUP($BL42,$W39:$AE42,3,FALSE)</f>
        <v>0</v>
      </c>
      <c r="BO42" s="1">
        <f>VLOOKUP($BL42,$W39:$AE42,4,FALSE)</f>
        <v>0</v>
      </c>
      <c r="BP42" s="1">
        <f>VLOOKUP($BL42,$W39:$AE42,5,FALSE)</f>
        <v>0</v>
      </c>
      <c r="BQ42" s="1">
        <f>VLOOKUP($BL42,$W39:$AE42,6,FALSE)</f>
        <v>0</v>
      </c>
      <c r="BR42" s="1">
        <f>VLOOKUP($BL42,$W39:$AE42,7,FALSE)</f>
        <v>0</v>
      </c>
      <c r="BS42" s="1">
        <f>VLOOKUP($BL42,$W39:$AE42,8,FALSE)</f>
        <v>0</v>
      </c>
      <c r="BT42" s="1">
        <f>VLOOKUP($BL42,$W39:$AE42,9,FALSE)</f>
        <v>0</v>
      </c>
    </row>
    <row r="43" spans="1:20" ht="15" customHeight="1">
      <c r="A43" s="11">
        <v>36</v>
      </c>
      <c r="B43" s="32">
        <v>38888</v>
      </c>
      <c r="C43" s="33">
        <v>0.8333333333333334</v>
      </c>
      <c r="D43" s="35" t="s">
        <v>4</v>
      </c>
      <c r="E43" s="26"/>
      <c r="F43" s="26"/>
      <c r="G43" s="38" t="s">
        <v>50</v>
      </c>
      <c r="H43" s="11" t="s">
        <v>78</v>
      </c>
      <c r="I43" s="11" t="s">
        <v>6</v>
      </c>
      <c r="J43" s="1">
        <f t="shared" si="2"/>
      </c>
      <c r="K43" s="1">
        <f t="shared" si="1"/>
      </c>
      <c r="L43" s="15" t="str">
        <f t="shared" si="7"/>
        <v>Austrália</v>
      </c>
      <c r="M43" s="11">
        <f t="shared" si="7"/>
        <v>0</v>
      </c>
      <c r="N43" s="11">
        <f t="shared" si="7"/>
        <v>0</v>
      </c>
      <c r="O43" s="11">
        <f t="shared" si="7"/>
        <v>0</v>
      </c>
      <c r="P43" s="11">
        <f t="shared" si="7"/>
        <v>0</v>
      </c>
      <c r="Q43" s="11">
        <f t="shared" si="7"/>
        <v>0</v>
      </c>
      <c r="R43" s="11">
        <f t="shared" si="7"/>
        <v>0</v>
      </c>
      <c r="S43" s="11">
        <f t="shared" si="7"/>
        <v>0</v>
      </c>
      <c r="T43" s="16">
        <f t="shared" si="7"/>
        <v>0</v>
      </c>
    </row>
    <row r="44" spans="1:23" ht="15" customHeight="1">
      <c r="A44" s="11">
        <v>37</v>
      </c>
      <c r="B44" s="32">
        <v>38889</v>
      </c>
      <c r="C44" s="33">
        <v>0.8333333333333334</v>
      </c>
      <c r="D44" s="35" t="s">
        <v>53</v>
      </c>
      <c r="E44" s="26"/>
      <c r="F44" s="26"/>
      <c r="G44" s="38" t="s">
        <v>15</v>
      </c>
      <c r="H44" s="11" t="s">
        <v>68</v>
      </c>
      <c r="I44" s="11" t="s">
        <v>8</v>
      </c>
      <c r="J44" s="1">
        <f t="shared" si="2"/>
      </c>
      <c r="K44" s="1">
        <f t="shared" si="1"/>
      </c>
      <c r="L44" s="17" t="str">
        <f t="shared" si="7"/>
        <v>Japão</v>
      </c>
      <c r="M44" s="18">
        <f t="shared" si="7"/>
        <v>0</v>
      </c>
      <c r="N44" s="18">
        <f t="shared" si="7"/>
        <v>0</v>
      </c>
      <c r="O44" s="18">
        <f t="shared" si="7"/>
        <v>0</v>
      </c>
      <c r="P44" s="18">
        <f t="shared" si="7"/>
        <v>0</v>
      </c>
      <c r="Q44" s="18">
        <f t="shared" si="7"/>
        <v>0</v>
      </c>
      <c r="R44" s="18">
        <f t="shared" si="7"/>
        <v>0</v>
      </c>
      <c r="S44" s="18">
        <f t="shared" si="7"/>
        <v>0</v>
      </c>
      <c r="T44" s="19">
        <f t="shared" si="7"/>
        <v>0</v>
      </c>
      <c r="W44" s="1" t="s">
        <v>34</v>
      </c>
    </row>
    <row r="45" spans="1:30" ht="15" customHeight="1">
      <c r="A45" s="11">
        <v>38</v>
      </c>
      <c r="B45" s="32">
        <v>38889</v>
      </c>
      <c r="C45" s="33">
        <v>0.8333333333333334</v>
      </c>
      <c r="D45" s="35" t="s">
        <v>51</v>
      </c>
      <c r="E45" s="26"/>
      <c r="F45" s="26"/>
      <c r="G45" s="38" t="s">
        <v>52</v>
      </c>
      <c r="H45" s="11" t="s">
        <v>71</v>
      </c>
      <c r="I45" s="11" t="s">
        <v>8</v>
      </c>
      <c r="J45" s="1">
        <f t="shared" si="2"/>
      </c>
      <c r="K45" s="1">
        <f t="shared" si="1"/>
      </c>
      <c r="X45" s="1" t="s">
        <v>37</v>
      </c>
      <c r="Y45" s="1" t="s">
        <v>38</v>
      </c>
      <c r="Z45" s="1" t="s">
        <v>11</v>
      </c>
      <c r="AA45" s="1" t="s">
        <v>13</v>
      </c>
      <c r="AB45" s="1" t="s">
        <v>39</v>
      </c>
      <c r="AC45" s="1" t="s">
        <v>40</v>
      </c>
      <c r="AD45" s="1" t="s">
        <v>41</v>
      </c>
    </row>
    <row r="46" spans="1:72" ht="15" customHeight="1">
      <c r="A46" s="11">
        <v>39</v>
      </c>
      <c r="B46" s="32">
        <v>38889</v>
      </c>
      <c r="C46" s="33">
        <v>0.625</v>
      </c>
      <c r="D46" s="35" t="s">
        <v>10</v>
      </c>
      <c r="E46" s="26"/>
      <c r="F46" s="26"/>
      <c r="G46" s="38" t="s">
        <v>19</v>
      </c>
      <c r="H46" s="11" t="s">
        <v>67</v>
      </c>
      <c r="I46" s="11" t="s">
        <v>11</v>
      </c>
      <c r="J46" s="1">
        <f t="shared" si="2"/>
      </c>
      <c r="K46" s="1">
        <f t="shared" si="1"/>
      </c>
      <c r="L46" s="46" t="s">
        <v>35</v>
      </c>
      <c r="M46" s="22"/>
      <c r="N46" s="22"/>
      <c r="O46" s="22"/>
      <c r="P46" s="22"/>
      <c r="Q46" s="22"/>
      <c r="R46" s="22"/>
      <c r="S46" s="22"/>
      <c r="T46" s="23"/>
      <c r="W46" s="1" t="s">
        <v>7</v>
      </c>
      <c r="X46" s="1">
        <f>COUNT(Brasil_played)</f>
        <v>0</v>
      </c>
      <c r="Y46" s="1">
        <f>COUNTIF($J$8:$J$55,$W46)</f>
        <v>0</v>
      </c>
      <c r="Z46" s="1">
        <f>COUNTIF($K$8:$K$55,$W46)</f>
        <v>0</v>
      </c>
      <c r="AA46" s="1">
        <f>X46-Y46-Z46</f>
        <v>0</v>
      </c>
      <c r="AB46" s="1">
        <f>SUM(Brasil_played)</f>
        <v>0</v>
      </c>
      <c r="AC46" s="1">
        <f>SUM(Brasil_against)</f>
        <v>0</v>
      </c>
      <c r="AD46" s="1">
        <f>AB46-AC46</f>
        <v>0</v>
      </c>
      <c r="AE46" s="1">
        <f>Y46*3+AA46</f>
        <v>0</v>
      </c>
      <c r="AF46" s="1" t="str">
        <f>IF($AE46&gt;=$AE47,$W46,$W47)</f>
        <v>Brasil</v>
      </c>
      <c r="AG46" s="1">
        <f>VLOOKUP($AF46,$W46:$AE49,9,FALSE)</f>
        <v>0</v>
      </c>
      <c r="AH46" s="1" t="str">
        <f>IF($AG46&gt;=$AG48,$AF46,$AF48)</f>
        <v>Brasil</v>
      </c>
      <c r="AI46" s="1">
        <f>VLOOKUP($AH46,$W46:$AE49,9,FALSE)</f>
        <v>0</v>
      </c>
      <c r="AJ46" s="1" t="str">
        <f>IF($AI46&gt;=$AI49,$AH46,$AH49)</f>
        <v>Brasil</v>
      </c>
      <c r="AK46" s="1">
        <f>VLOOKUP($AJ46,$W46:$AE49,9,FALSE)</f>
        <v>0</v>
      </c>
      <c r="AL46" s="1">
        <f>VLOOKUP($AJ46,$W46:$AE49,8,FALSE)</f>
        <v>0</v>
      </c>
      <c r="AM46" s="1" t="str">
        <f>IF(AND($AK46=$AK47,$AL47&gt;$AL46),$AJ47,$AJ46)</f>
        <v>Brasil</v>
      </c>
      <c r="AN46" s="1">
        <f>VLOOKUP($AM46,$W46:$AE49,9,FALSE)</f>
        <v>0</v>
      </c>
      <c r="AO46" s="1">
        <f>VLOOKUP($AM46,$W46:$AE49,8,FALSE)</f>
        <v>0</v>
      </c>
      <c r="AP46" s="1" t="str">
        <f>IF(AND($AN46=$AN48,$AO48&gt;$AO46),$AM48,$AM46)</f>
        <v>Brasil</v>
      </c>
      <c r="AQ46" s="1">
        <f>VLOOKUP($AP46,$W46:$AE49,9,FALSE)</f>
        <v>0</v>
      </c>
      <c r="AR46" s="1">
        <f>VLOOKUP($AP46,$W46:$AE49,8,FALSE)</f>
        <v>0</v>
      </c>
      <c r="AS46" s="1" t="str">
        <f>IF(AND($AQ46=$AQ49,$AR49&gt;$AR46),$AP49,$AP46)</f>
        <v>Brasil</v>
      </c>
      <c r="AT46" s="1">
        <f>VLOOKUP($AS46,$W46:$AE49,9,FALSE)</f>
        <v>0</v>
      </c>
      <c r="AU46" s="1">
        <f>VLOOKUP($AS46,$W46:$AE49,8,FALSE)</f>
        <v>0</v>
      </c>
      <c r="AV46" s="1">
        <f>VLOOKUP($AS46,$W46:$AE49,6,FALSE)</f>
        <v>0</v>
      </c>
      <c r="AW46" s="1" t="str">
        <f>IF(AND($AT46=$AT47,$AU46=$AU47,$AV47&gt;$AV46),$AS47,$AS46)</f>
        <v>Brasil</v>
      </c>
      <c r="AX46" s="1">
        <f>VLOOKUP($AW46,$W46:$AE49,9,FALSE)</f>
        <v>0</v>
      </c>
      <c r="AY46" s="1">
        <f>VLOOKUP($AW46,$W46:$AE49,8,FALSE)</f>
        <v>0</v>
      </c>
      <c r="AZ46" s="1">
        <f>VLOOKUP($AW46,$W46:$AE49,6,FALSE)</f>
        <v>0</v>
      </c>
      <c r="BA46" s="1" t="str">
        <f>IF(AND($AX46=$AX48,$AY46=$AY48,$AZ48&gt;$AZ46),$AW48,$AW46)</f>
        <v>Brasil</v>
      </c>
      <c r="BB46" s="1">
        <f>VLOOKUP($BA46,$W46:$AE49,9,FALSE)</f>
        <v>0</v>
      </c>
      <c r="BC46" s="1">
        <f>VLOOKUP($BA46,$W46:$AE49,8,FALSE)</f>
        <v>0</v>
      </c>
      <c r="BD46" s="1">
        <f>VLOOKUP($BA46,$W46:$AE49,6,FALSE)</f>
        <v>0</v>
      </c>
      <c r="BE46" s="1" t="str">
        <f>IF(AND($BB46=$BB49,$BC46=$BC49,$BD49&gt;$BD46),$BA49,$BA46)</f>
        <v>Brasil</v>
      </c>
      <c r="BF46" s="1">
        <f>VLOOKUP($BE46,$W46:$AE49,9,FALSE)</f>
        <v>0</v>
      </c>
      <c r="BG46" s="1">
        <f>VLOOKUP($BE46,$W46:$AE49,8,FALSE)</f>
        <v>0</v>
      </c>
      <c r="BH46" s="1">
        <f>VLOOKUP($BE46,$W46:$AE49,6,FALSE)</f>
        <v>0</v>
      </c>
      <c r="BL46" s="1" t="str">
        <f>BE46</f>
        <v>Brasil</v>
      </c>
      <c r="BM46" s="1">
        <f>VLOOKUP($BL46,$W46:$AE49,2,FALSE)</f>
        <v>0</v>
      </c>
      <c r="BN46" s="1">
        <f>VLOOKUP($BL46,$W46:$AE49,3,FALSE)</f>
        <v>0</v>
      </c>
      <c r="BO46" s="1">
        <f>VLOOKUP($BL46,$W46:$AE49,4,FALSE)</f>
        <v>0</v>
      </c>
      <c r="BP46" s="1">
        <f>VLOOKUP($BL46,$W46:$AE49,5,FALSE)</f>
        <v>0</v>
      </c>
      <c r="BQ46" s="1">
        <f>VLOOKUP($BL46,$W46:$AE49,6,FALSE)</f>
        <v>0</v>
      </c>
      <c r="BR46" s="1">
        <f>VLOOKUP($BL46,$W46:$AE49,7,FALSE)</f>
        <v>0</v>
      </c>
      <c r="BS46" s="1">
        <f>VLOOKUP($BL46,$W46:$AE49,8,FALSE)</f>
        <v>0</v>
      </c>
      <c r="BT46" s="1">
        <f>VLOOKUP($BL46,$W46:$AE49,9,FALSE)</f>
        <v>0</v>
      </c>
    </row>
    <row r="47" spans="1:72" ht="15" customHeight="1">
      <c r="A47" s="11">
        <v>40</v>
      </c>
      <c r="B47" s="32">
        <v>38889</v>
      </c>
      <c r="C47" s="33">
        <v>0.625</v>
      </c>
      <c r="D47" s="35" t="s">
        <v>54</v>
      </c>
      <c r="E47" s="26"/>
      <c r="F47" s="26"/>
      <c r="G47" s="38" t="s">
        <v>55</v>
      </c>
      <c r="H47" s="11" t="s">
        <v>70</v>
      </c>
      <c r="I47" s="11" t="s">
        <v>11</v>
      </c>
      <c r="J47" s="1">
        <f t="shared" si="2"/>
      </c>
      <c r="K47" s="1">
        <f t="shared" si="1"/>
      </c>
      <c r="L47" s="47"/>
      <c r="M47" s="20" t="s">
        <v>43</v>
      </c>
      <c r="N47" s="20" t="s">
        <v>38</v>
      </c>
      <c r="O47" s="20" t="s">
        <v>11</v>
      </c>
      <c r="P47" s="20" t="s">
        <v>13</v>
      </c>
      <c r="Q47" s="20" t="s">
        <v>39</v>
      </c>
      <c r="R47" s="20" t="s">
        <v>40</v>
      </c>
      <c r="S47" s="20" t="s">
        <v>41</v>
      </c>
      <c r="T47" s="21" t="s">
        <v>44</v>
      </c>
      <c r="W47" s="1" t="s">
        <v>18</v>
      </c>
      <c r="X47" s="1">
        <f>COUNT(Croácia_played)</f>
        <v>0</v>
      </c>
      <c r="Y47" s="1">
        <f>COUNTIF($J$8:$J$55,$W47)</f>
        <v>0</v>
      </c>
      <c r="Z47" s="1">
        <f>COUNTIF($K$8:$K$55,$W47)</f>
        <v>0</v>
      </c>
      <c r="AA47" s="1">
        <f>X47-Y47-Z47</f>
        <v>0</v>
      </c>
      <c r="AB47" s="1">
        <f>SUM(Croácia_played)</f>
        <v>0</v>
      </c>
      <c r="AC47" s="1">
        <f>SUM(Croácia_against)</f>
        <v>0</v>
      </c>
      <c r="AD47" s="1">
        <f>AB47-AC47</f>
        <v>0</v>
      </c>
      <c r="AE47" s="1">
        <f>Y47*3+AA47</f>
        <v>0</v>
      </c>
      <c r="AF47" s="1" t="str">
        <f>IF($AE47&lt;=$AE46,$W47,$W46)</f>
        <v>Croácia</v>
      </c>
      <c r="AG47" s="1">
        <f>VLOOKUP($AF47,$W46:$AE49,9,FALSE)</f>
        <v>0</v>
      </c>
      <c r="AH47" s="1" t="str">
        <f>IF(AG47&gt;=AG49,AF47,AF49)</f>
        <v>Croácia</v>
      </c>
      <c r="AI47" s="1">
        <f>VLOOKUP($AH47,$W46:$AE49,9,FALSE)</f>
        <v>0</v>
      </c>
      <c r="AJ47" s="1" t="str">
        <f>IF($AI47&gt;=$AI48,$AH47,$AH48)</f>
        <v>Croácia</v>
      </c>
      <c r="AK47" s="1">
        <f>VLOOKUP($AJ47,$W46:$AE49,9,FALSE)</f>
        <v>0</v>
      </c>
      <c r="AL47" s="1">
        <f>VLOOKUP($AJ47,$W46:$AE49,8,FALSE)</f>
        <v>0</v>
      </c>
      <c r="AM47" s="1" t="str">
        <f>IF(AND($AK46=$AK47,$AL47&gt;$AL46),$AJ46,$AJ47)</f>
        <v>Croácia</v>
      </c>
      <c r="AN47" s="1">
        <f>VLOOKUP($AM47,$W46:$AE49,9,FALSE)</f>
        <v>0</v>
      </c>
      <c r="AO47" s="1">
        <f>VLOOKUP($AM47,$W46:$AE49,8,FALSE)</f>
        <v>0</v>
      </c>
      <c r="AP47" s="1" t="str">
        <f>IF(AND($AN47=$AN49,$AO49&gt;$AO47),$AM49,$AM47)</f>
        <v>Croácia</v>
      </c>
      <c r="AQ47" s="1">
        <f>VLOOKUP($AP47,$W46:$AE49,9,FALSE)</f>
        <v>0</v>
      </c>
      <c r="AR47" s="1">
        <f>VLOOKUP($AP47,$W46:$AE49,8,FALSE)</f>
        <v>0</v>
      </c>
      <c r="AS47" s="1" t="str">
        <f>IF(AND($AQ47=$AQ48,$AR48&gt;$AR47),$AP48,$AP47)</f>
        <v>Croácia</v>
      </c>
      <c r="AT47" s="1">
        <f>VLOOKUP($AS47,$W46:$AE49,9,FALSE)</f>
        <v>0</v>
      </c>
      <c r="AU47" s="1">
        <f>VLOOKUP($AS47,$W46:$AE49,8,FALSE)</f>
        <v>0</v>
      </c>
      <c r="AV47" s="1">
        <f>VLOOKUP($AS47,$W46:$AE49,6,FALSE)</f>
        <v>0</v>
      </c>
      <c r="AW47" s="1" t="str">
        <f>IF(AND($AT46=$AT47,$AU46=$AU47,$AV47&gt;$AV46),$AS46,$AS47)</f>
        <v>Croácia</v>
      </c>
      <c r="AX47" s="1">
        <f>VLOOKUP($AW47,$W46:$AE49,9,FALSE)</f>
        <v>0</v>
      </c>
      <c r="AY47" s="1">
        <f>VLOOKUP($AW47,$W46:$AE49,8,FALSE)</f>
        <v>0</v>
      </c>
      <c r="AZ47" s="1">
        <f>VLOOKUP($AW47,$W46:$AE49,6,FALSE)</f>
        <v>0</v>
      </c>
      <c r="BA47" s="1" t="str">
        <f>IF(AND($AX47=$AX49,$AY47=$AY49,$AZ49&gt;$AZ47),$AW49,$AW47)</f>
        <v>Croácia</v>
      </c>
      <c r="BB47" s="1">
        <f>VLOOKUP($BA47,$W46:$AE49,9,FALSE)</f>
        <v>0</v>
      </c>
      <c r="BC47" s="1">
        <f>VLOOKUP($BA47,$W46:$AE49,8,FALSE)</f>
        <v>0</v>
      </c>
      <c r="BD47" s="1">
        <f>VLOOKUP($BA47,$W46:$AE49,6,FALSE)</f>
        <v>0</v>
      </c>
      <c r="BE47" s="1" t="str">
        <f>IF(AND($BB47=$BB48,$BC47=$BC48,$BD48&gt;$BD47),$BA48,$BA47)</f>
        <v>Croácia</v>
      </c>
      <c r="BF47" s="1">
        <f>VLOOKUP($BE47,$W46:$AE49,9,FALSE)</f>
        <v>0</v>
      </c>
      <c r="BG47" s="1">
        <f>VLOOKUP($BE47,$W46:$AE49,8,FALSE)</f>
        <v>0</v>
      </c>
      <c r="BH47" s="1">
        <f>VLOOKUP($BE47,$W46:$AE49,6,FALSE)</f>
        <v>0</v>
      </c>
      <c r="BL47" s="1" t="str">
        <f>BE47</f>
        <v>Croácia</v>
      </c>
      <c r="BM47" s="1">
        <f>VLOOKUP($BL47,$W46:$AE49,2,FALSE)</f>
        <v>0</v>
      </c>
      <c r="BN47" s="1">
        <f>VLOOKUP($BL47,$W46:$AE49,3,FALSE)</f>
        <v>0</v>
      </c>
      <c r="BO47" s="1">
        <f>VLOOKUP($BL47,$W46:$AE49,4,FALSE)</f>
        <v>0</v>
      </c>
      <c r="BP47" s="1">
        <f>VLOOKUP($BL47,$W46:$AE49,5,FALSE)</f>
        <v>0</v>
      </c>
      <c r="BQ47" s="1">
        <f>VLOOKUP($BL47,$W46:$AE49,6,FALSE)</f>
        <v>0</v>
      </c>
      <c r="BR47" s="1">
        <f>VLOOKUP($BL47,$W46:$AE49,7,FALSE)</f>
        <v>0</v>
      </c>
      <c r="BS47" s="1">
        <f>VLOOKUP($BL47,$W46:$AE49,8,FALSE)</f>
        <v>0</v>
      </c>
      <c r="BT47" s="1">
        <f>VLOOKUP($BL47,$W46:$AE49,9,FALSE)</f>
        <v>0</v>
      </c>
    </row>
    <row r="48" spans="1:72" ht="15" customHeight="1">
      <c r="A48" s="11">
        <v>41</v>
      </c>
      <c r="B48" s="32">
        <v>38890</v>
      </c>
      <c r="C48" s="33">
        <v>0.625</v>
      </c>
      <c r="D48" s="35" t="s">
        <v>58</v>
      </c>
      <c r="E48" s="26"/>
      <c r="F48" s="26"/>
      <c r="G48" s="38" t="s">
        <v>20</v>
      </c>
      <c r="H48" s="11" t="s">
        <v>77</v>
      </c>
      <c r="I48" s="11" t="s">
        <v>13</v>
      </c>
      <c r="J48" s="1">
        <f t="shared" si="2"/>
      </c>
      <c r="K48" s="1">
        <f t="shared" si="1"/>
      </c>
      <c r="L48" s="12" t="str">
        <f aca="true" t="shared" si="8" ref="L48:T51">BL53</f>
        <v>França</v>
      </c>
      <c r="M48" s="13">
        <f t="shared" si="8"/>
        <v>0</v>
      </c>
      <c r="N48" s="13">
        <f t="shared" si="8"/>
        <v>0</v>
      </c>
      <c r="O48" s="13">
        <f t="shared" si="8"/>
        <v>0</v>
      </c>
      <c r="P48" s="13">
        <f t="shared" si="8"/>
        <v>0</v>
      </c>
      <c r="Q48" s="13">
        <f t="shared" si="8"/>
        <v>0</v>
      </c>
      <c r="R48" s="13">
        <f t="shared" si="8"/>
        <v>0</v>
      </c>
      <c r="S48" s="13">
        <f t="shared" si="8"/>
        <v>0</v>
      </c>
      <c r="T48" s="14">
        <f t="shared" si="8"/>
        <v>0</v>
      </c>
      <c r="W48" s="1" t="s">
        <v>59</v>
      </c>
      <c r="X48" s="1">
        <f>COUNT(Austrália_played)</f>
        <v>0</v>
      </c>
      <c r="Y48" s="1">
        <f>COUNTIF($J$8:$J$55,$W48)</f>
        <v>0</v>
      </c>
      <c r="Z48" s="1">
        <f>COUNTIF($K$8:$K$55,$W48)</f>
        <v>0</v>
      </c>
      <c r="AA48" s="1">
        <f>X48-Y48-Z48</f>
        <v>0</v>
      </c>
      <c r="AB48" s="1">
        <f>SUM(Austrália_played)</f>
        <v>0</v>
      </c>
      <c r="AC48" s="1">
        <f>SUM(Austrália_against)</f>
        <v>0</v>
      </c>
      <c r="AD48" s="1">
        <f>AB48-AC48</f>
        <v>0</v>
      </c>
      <c r="AE48" s="1">
        <f>Y48*3+AA48</f>
        <v>0</v>
      </c>
      <c r="AF48" s="1" t="str">
        <f>IF($AE48&gt;=$AE49,$W48,$W49)</f>
        <v>Austrália</v>
      </c>
      <c r="AG48" s="1">
        <f>VLOOKUP($AF48,$W46:$AE49,9,FALSE)</f>
        <v>0</v>
      </c>
      <c r="AH48" s="1" t="str">
        <f>IF($AG48&lt;=$AG46,$AF48,$AF46)</f>
        <v>Austrália</v>
      </c>
      <c r="AI48" s="1">
        <f>VLOOKUP($AH48,$W46:$AE49,9,FALSE)</f>
        <v>0</v>
      </c>
      <c r="AJ48" s="1" t="str">
        <f>IF($AI48&lt;=$AI47,$AH48,$AH47)</f>
        <v>Austrália</v>
      </c>
      <c r="AK48" s="1">
        <f>VLOOKUP($AJ48,$W46:$AE49,9,FALSE)</f>
        <v>0</v>
      </c>
      <c r="AL48" s="1">
        <f>VLOOKUP($AJ48,$W46:$AE49,8,FALSE)</f>
        <v>0</v>
      </c>
      <c r="AM48" s="1" t="str">
        <f>IF(AND($AK48=$AK49,$AL49&gt;$AL48),$AJ49,$AJ48)</f>
        <v>Austrália</v>
      </c>
      <c r="AN48" s="1">
        <f>VLOOKUP($AM48,$W46:$AE49,9,FALSE)</f>
        <v>0</v>
      </c>
      <c r="AO48" s="1">
        <f>VLOOKUP($AM48,$W46:$AE49,8,FALSE)</f>
        <v>0</v>
      </c>
      <c r="AP48" s="1" t="str">
        <f>IF(AND($AN46=$AN48,$AO48&gt;$AO46),$AM46,$AM48)</f>
        <v>Austrália</v>
      </c>
      <c r="AQ48" s="1">
        <f>VLOOKUP($AP48,$W46:$AE49,9,FALSE)</f>
        <v>0</v>
      </c>
      <c r="AR48" s="1">
        <f>VLOOKUP($AP48,$W46:$AE49,8,FALSE)</f>
        <v>0</v>
      </c>
      <c r="AS48" s="1" t="str">
        <f>IF(AND($AQ47=$AQ48,$AR48&gt;$AR47),$AP47,$AP48)</f>
        <v>Austrália</v>
      </c>
      <c r="AT48" s="1">
        <f>VLOOKUP($AS48,$W46:$AE49,9,FALSE)</f>
        <v>0</v>
      </c>
      <c r="AU48" s="1">
        <f>VLOOKUP($AS48,$W46:$AE49,8,FALSE)</f>
        <v>0</v>
      </c>
      <c r="AV48" s="1">
        <f>VLOOKUP($AS48,$W46:$AE49,6,FALSE)</f>
        <v>0</v>
      </c>
      <c r="AW48" s="1" t="str">
        <f>IF(AND($AT48=$AT49,$AU48=$AU49,$AV49&gt;$AV48),$AS49,$AS48)</f>
        <v>Austrália</v>
      </c>
      <c r="AX48" s="1">
        <f>VLOOKUP($AW48,$W46:$AE49,9,FALSE)</f>
        <v>0</v>
      </c>
      <c r="AY48" s="1">
        <f>VLOOKUP($AW48,$W46:$AE49,8,FALSE)</f>
        <v>0</v>
      </c>
      <c r="AZ48" s="1">
        <f>VLOOKUP($AW48,$W46:$AE49,6,FALSE)</f>
        <v>0</v>
      </c>
      <c r="BA48" s="1" t="str">
        <f>IF(AND($AX46=$AX48,$AY46=$AY48,$AZ47&gt;$AZ46),$AW46,$AW48)</f>
        <v>Austrália</v>
      </c>
      <c r="BB48" s="1">
        <f>VLOOKUP($BA48,$W46:$AE49,9,FALSE)</f>
        <v>0</v>
      </c>
      <c r="BC48" s="1">
        <f>VLOOKUP($BA48,$W46:$AE49,8,FALSE)</f>
        <v>0</v>
      </c>
      <c r="BD48" s="1">
        <f>VLOOKUP($BA48,$W46:$AE49,6,FALSE)</f>
        <v>0</v>
      </c>
      <c r="BE48" s="1" t="str">
        <f>IF(AND($BB47=$BB48,$BC47=$BC48,$BD48&gt;$BD47),$BA47,$BA48)</f>
        <v>Austrália</v>
      </c>
      <c r="BF48" s="1">
        <f>VLOOKUP($BE48,$W46:$AE49,9,FALSE)</f>
        <v>0</v>
      </c>
      <c r="BG48" s="1">
        <f>VLOOKUP($BE48,$W46:$AE49,8,FALSE)</f>
        <v>0</v>
      </c>
      <c r="BH48" s="1">
        <f>VLOOKUP($BE48,$W46:$AE49,6,FALSE)</f>
        <v>0</v>
      </c>
      <c r="BL48" s="1" t="str">
        <f>BE48</f>
        <v>Austrália</v>
      </c>
      <c r="BM48" s="1">
        <f>VLOOKUP($BL48,$W46:$AE49,2,FALSE)</f>
        <v>0</v>
      </c>
      <c r="BN48" s="1">
        <f>VLOOKUP($BL48,$W46:$AE49,3,FALSE)</f>
        <v>0</v>
      </c>
      <c r="BO48" s="1">
        <f>VLOOKUP($BL48,$W46:$AE49,4,FALSE)</f>
        <v>0</v>
      </c>
      <c r="BP48" s="1">
        <f>VLOOKUP($BL48,$W46:$AE49,5,FALSE)</f>
        <v>0</v>
      </c>
      <c r="BQ48" s="1">
        <f>VLOOKUP($BL48,$W46:$AE49,6,FALSE)</f>
        <v>0</v>
      </c>
      <c r="BR48" s="1">
        <f>VLOOKUP($BL48,$W46:$AE49,7,FALSE)</f>
        <v>0</v>
      </c>
      <c r="BS48" s="1">
        <f>VLOOKUP($BL48,$W46:$AE49,8,FALSE)</f>
        <v>0</v>
      </c>
      <c r="BT48" s="1">
        <f>VLOOKUP($BL48,$W46:$AE49,9,FALSE)</f>
        <v>0</v>
      </c>
    </row>
    <row r="49" spans="1:72" ht="15" customHeight="1">
      <c r="A49" s="11">
        <v>42</v>
      </c>
      <c r="B49" s="32">
        <v>38890</v>
      </c>
      <c r="C49" s="33">
        <v>0.625</v>
      </c>
      <c r="D49" s="35" t="s">
        <v>56</v>
      </c>
      <c r="E49" s="26"/>
      <c r="F49" s="26"/>
      <c r="G49" s="38" t="s">
        <v>57</v>
      </c>
      <c r="H49" s="11" t="s">
        <v>72</v>
      </c>
      <c r="I49" s="11" t="s">
        <v>13</v>
      </c>
      <c r="J49" s="1">
        <f t="shared" si="2"/>
      </c>
      <c r="K49" s="1">
        <f t="shared" si="1"/>
      </c>
      <c r="L49" s="15" t="str">
        <f t="shared" si="8"/>
        <v>Suiça</v>
      </c>
      <c r="M49" s="11">
        <f t="shared" si="8"/>
        <v>0</v>
      </c>
      <c r="N49" s="11">
        <f t="shared" si="8"/>
        <v>0</v>
      </c>
      <c r="O49" s="11">
        <f t="shared" si="8"/>
        <v>0</v>
      </c>
      <c r="P49" s="11">
        <f t="shared" si="8"/>
        <v>0</v>
      </c>
      <c r="Q49" s="11">
        <f t="shared" si="8"/>
        <v>0</v>
      </c>
      <c r="R49" s="11">
        <f t="shared" si="8"/>
        <v>0</v>
      </c>
      <c r="S49" s="11">
        <f t="shared" si="8"/>
        <v>0</v>
      </c>
      <c r="T49" s="16">
        <f t="shared" si="8"/>
        <v>0</v>
      </c>
      <c r="W49" s="1" t="s">
        <v>24</v>
      </c>
      <c r="X49" s="1">
        <f>COUNT(Japão_played)</f>
        <v>0</v>
      </c>
      <c r="Y49" s="1">
        <f>COUNTIF($J$8:$J$55,$W49)</f>
        <v>0</v>
      </c>
      <c r="Z49" s="1">
        <f>COUNTIF($K$8:$K$55,$W49)</f>
        <v>0</v>
      </c>
      <c r="AA49" s="1">
        <f>X49-Y49-Z49</f>
        <v>0</v>
      </c>
      <c r="AB49" s="1">
        <f>SUM(Japão_played)</f>
        <v>0</v>
      </c>
      <c r="AC49" s="1">
        <f>SUM(Japão_against)</f>
        <v>0</v>
      </c>
      <c r="AD49" s="1">
        <f>AB49-AC49</f>
        <v>0</v>
      </c>
      <c r="AE49" s="1">
        <f>Y49*3+AA49</f>
        <v>0</v>
      </c>
      <c r="AF49" s="1" t="str">
        <f>IF($AE49&lt;=$AE48,$W49,$W48)</f>
        <v>Japão</v>
      </c>
      <c r="AG49" s="1">
        <f>VLOOKUP($AF49,$W46:$AE49,9,FALSE)</f>
        <v>0</v>
      </c>
      <c r="AH49" s="1" t="str">
        <f>IF(AG49&lt;=AG47,AF49,AF47)</f>
        <v>Japão</v>
      </c>
      <c r="AI49" s="1">
        <f>VLOOKUP($AH49,$W46:$AE49,9,FALSE)</f>
        <v>0</v>
      </c>
      <c r="AJ49" s="1" t="str">
        <f>IF($AI49&lt;=$AI46,$AH49,$AH46)</f>
        <v>Japão</v>
      </c>
      <c r="AK49" s="1">
        <f>VLOOKUP($AJ49,$W46:$AE49,9,FALSE)</f>
        <v>0</v>
      </c>
      <c r="AL49" s="1">
        <f>VLOOKUP($AJ49,$W46:$AE49,8,FALSE)</f>
        <v>0</v>
      </c>
      <c r="AM49" s="1" t="str">
        <f>IF(AND($AK48=$AK49,$AL49&gt;$AL48),$AJ48,$AJ49)</f>
        <v>Japão</v>
      </c>
      <c r="AN49" s="1">
        <f>VLOOKUP($AM49,$W46:$AE49,9,FALSE)</f>
        <v>0</v>
      </c>
      <c r="AO49" s="1">
        <f>VLOOKUP($AM49,$W46:$AE49,8,FALSE)</f>
        <v>0</v>
      </c>
      <c r="AP49" s="1" t="str">
        <f>IF(AND($AN47=$AN49,$AO49&gt;$AO47),$AM47,$AM49)</f>
        <v>Japão</v>
      </c>
      <c r="AQ49" s="1">
        <f>VLOOKUP($AP49,$W46:$AE49,9,FALSE)</f>
        <v>0</v>
      </c>
      <c r="AR49" s="1">
        <f>VLOOKUP($AP49,$W46:$AE49,8,FALSE)</f>
        <v>0</v>
      </c>
      <c r="AS49" s="1" t="str">
        <f>IF(AND($AQ46=$AQ49,$AR49&gt;$AR46),$AP46,$AP49)</f>
        <v>Japão</v>
      </c>
      <c r="AT49" s="1">
        <f>VLOOKUP($AS49,$W46:$AE49,9,FALSE)</f>
        <v>0</v>
      </c>
      <c r="AU49" s="1">
        <f>VLOOKUP($AS49,$W46:$AE49,8,FALSE)</f>
        <v>0</v>
      </c>
      <c r="AV49" s="1">
        <f>VLOOKUP($AS49,$W46:$AE49,6,FALSE)</f>
        <v>0</v>
      </c>
      <c r="AW49" s="1" t="str">
        <f>IF(AND($AT48=$AT49,$AU48=$AU49,$AV49&gt;$AV48),$AS48,$AS49)</f>
        <v>Japão</v>
      </c>
      <c r="AX49" s="1">
        <f>VLOOKUP($AW49,$W46:$AE49,9,FALSE)</f>
        <v>0</v>
      </c>
      <c r="AY49" s="1">
        <f>VLOOKUP($AW49,$W46:$AE49,8,FALSE)</f>
        <v>0</v>
      </c>
      <c r="AZ49" s="1">
        <f>VLOOKUP($AW49,$W46:$AE49,6,FALSE)</f>
        <v>0</v>
      </c>
      <c r="BA49" s="1" t="str">
        <f>IF(AND($AX47=$AX49,$AY47=$AY49,$AZ49&gt;$AZ47),$AW47,$AW49)</f>
        <v>Japão</v>
      </c>
      <c r="BB49" s="1">
        <f>VLOOKUP($BA49,$W46:$AE49,9,FALSE)</f>
        <v>0</v>
      </c>
      <c r="BC49" s="1">
        <f>VLOOKUP($BA49,$W46:$AE49,8,FALSE)</f>
        <v>0</v>
      </c>
      <c r="BD49" s="1">
        <f>VLOOKUP($BA49,$W46:$AE49,6,FALSE)</f>
        <v>0</v>
      </c>
      <c r="BE49" s="1" t="str">
        <f>IF(AND($BB46=$BB49,$BC46=$BC49,$BD49&gt;$BD46),$BA46,$BA49)</f>
        <v>Japão</v>
      </c>
      <c r="BF49" s="1">
        <f>VLOOKUP($BE49,$W46:$AE49,9,FALSE)</f>
        <v>0</v>
      </c>
      <c r="BG49" s="1">
        <f>VLOOKUP($BE49,$W46:$AE49,8,FALSE)</f>
        <v>0</v>
      </c>
      <c r="BH49" s="1">
        <f>VLOOKUP($BE49,$W46:$AE49,6,FALSE)</f>
        <v>0</v>
      </c>
      <c r="BL49" s="1" t="str">
        <f>BE49</f>
        <v>Japão</v>
      </c>
      <c r="BM49" s="1">
        <f>VLOOKUP($BL49,$W46:$AE49,2,FALSE)</f>
        <v>0</v>
      </c>
      <c r="BN49" s="1">
        <f>VLOOKUP($BL49,$W46:$AE49,3,FALSE)</f>
        <v>0</v>
      </c>
      <c r="BO49" s="1">
        <f>VLOOKUP($BL49,$W46:$AE49,4,FALSE)</f>
        <v>0</v>
      </c>
      <c r="BP49" s="1">
        <f>VLOOKUP($BL49,$W46:$AE49,5,FALSE)</f>
        <v>0</v>
      </c>
      <c r="BQ49" s="1">
        <f>VLOOKUP($BL49,$W46:$AE49,6,FALSE)</f>
        <v>0</v>
      </c>
      <c r="BR49" s="1">
        <f>VLOOKUP($BL49,$W46:$AE49,7,FALSE)</f>
        <v>0</v>
      </c>
      <c r="BS49" s="1">
        <f>VLOOKUP($BL49,$W46:$AE49,8,FALSE)</f>
        <v>0</v>
      </c>
      <c r="BT49" s="1">
        <f>VLOOKUP($BL49,$W46:$AE49,9,FALSE)</f>
        <v>0</v>
      </c>
    </row>
    <row r="50" spans="1:20" ht="15" customHeight="1">
      <c r="A50" s="11">
        <v>43</v>
      </c>
      <c r="B50" s="32">
        <v>38890</v>
      </c>
      <c r="C50" s="33">
        <v>0.8333333333333334</v>
      </c>
      <c r="D50" s="35" t="s">
        <v>24</v>
      </c>
      <c r="E50" s="26"/>
      <c r="F50" s="26"/>
      <c r="G50" s="38" t="s">
        <v>7</v>
      </c>
      <c r="H50" s="11" t="s">
        <v>69</v>
      </c>
      <c r="I50" s="11" t="s">
        <v>17</v>
      </c>
      <c r="J50" s="1">
        <f t="shared" si="2"/>
      </c>
      <c r="K50" s="1">
        <f t="shared" si="1"/>
      </c>
      <c r="L50" s="15" t="str">
        <f t="shared" si="8"/>
        <v>Coreia Sul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  <c r="T50" s="16">
        <f t="shared" si="8"/>
        <v>0</v>
      </c>
    </row>
    <row r="51" spans="1:23" ht="15" customHeight="1">
      <c r="A51" s="11">
        <v>44</v>
      </c>
      <c r="B51" s="32">
        <v>38890</v>
      </c>
      <c r="C51" s="33">
        <v>0.8333333333333334</v>
      </c>
      <c r="D51" s="35" t="s">
        <v>18</v>
      </c>
      <c r="E51" s="26"/>
      <c r="F51" s="26"/>
      <c r="G51" s="38" t="s">
        <v>59</v>
      </c>
      <c r="H51" s="11" t="s">
        <v>76</v>
      </c>
      <c r="I51" s="11" t="s">
        <v>17</v>
      </c>
      <c r="J51" s="1">
        <f t="shared" si="2"/>
      </c>
      <c r="K51" s="1">
        <f t="shared" si="1"/>
      </c>
      <c r="L51" s="17" t="str">
        <f t="shared" si="8"/>
        <v>Togo</v>
      </c>
      <c r="M51" s="18">
        <f t="shared" si="8"/>
        <v>0</v>
      </c>
      <c r="N51" s="18">
        <f t="shared" si="8"/>
        <v>0</v>
      </c>
      <c r="O51" s="18">
        <f t="shared" si="8"/>
        <v>0</v>
      </c>
      <c r="P51" s="18">
        <f t="shared" si="8"/>
        <v>0</v>
      </c>
      <c r="Q51" s="18">
        <f t="shared" si="8"/>
        <v>0</v>
      </c>
      <c r="R51" s="18">
        <f t="shared" si="8"/>
        <v>0</v>
      </c>
      <c r="S51" s="18">
        <f t="shared" si="8"/>
        <v>0</v>
      </c>
      <c r="T51" s="19">
        <f t="shared" si="8"/>
        <v>0</v>
      </c>
      <c r="W51" s="1" t="s">
        <v>35</v>
      </c>
    </row>
    <row r="52" spans="1:30" ht="15" customHeight="1">
      <c r="A52" s="11">
        <v>45</v>
      </c>
      <c r="B52" s="32">
        <v>38891</v>
      </c>
      <c r="C52" s="33">
        <v>0.8333333333333334</v>
      </c>
      <c r="D52" s="35" t="s">
        <v>62</v>
      </c>
      <c r="E52" s="26"/>
      <c r="F52" s="26"/>
      <c r="G52" s="38" t="s">
        <v>2</v>
      </c>
      <c r="H52" s="11" t="s">
        <v>73</v>
      </c>
      <c r="I52" s="11" t="s">
        <v>22</v>
      </c>
      <c r="J52" s="1">
        <f t="shared" si="2"/>
      </c>
      <c r="K52" s="1">
        <f t="shared" si="1"/>
      </c>
      <c r="X52" s="1" t="s">
        <v>37</v>
      </c>
      <c r="Y52" s="1" t="s">
        <v>38</v>
      </c>
      <c r="Z52" s="1" t="s">
        <v>11</v>
      </c>
      <c r="AA52" s="1" t="s">
        <v>13</v>
      </c>
      <c r="AB52" s="1" t="s">
        <v>39</v>
      </c>
      <c r="AC52" s="1" t="s">
        <v>40</v>
      </c>
      <c r="AD52" s="1" t="s">
        <v>41</v>
      </c>
    </row>
    <row r="53" spans="1:72" ht="15" customHeight="1">
      <c r="A53" s="11">
        <v>46</v>
      </c>
      <c r="B53" s="32">
        <v>38891</v>
      </c>
      <c r="C53" s="33">
        <v>0.8333333333333334</v>
      </c>
      <c r="D53" s="35" t="s">
        <v>60</v>
      </c>
      <c r="E53" s="26"/>
      <c r="F53" s="26"/>
      <c r="G53" s="38" t="s">
        <v>61</v>
      </c>
      <c r="H53" s="11" t="s">
        <v>74</v>
      </c>
      <c r="I53" s="11" t="s">
        <v>22</v>
      </c>
      <c r="J53" s="1">
        <f t="shared" si="2"/>
      </c>
      <c r="K53" s="1">
        <f t="shared" si="1"/>
      </c>
      <c r="L53" s="46" t="s">
        <v>36</v>
      </c>
      <c r="M53" s="22"/>
      <c r="N53" s="22"/>
      <c r="O53" s="22"/>
      <c r="P53" s="22"/>
      <c r="Q53" s="22"/>
      <c r="R53" s="22"/>
      <c r="S53" s="22"/>
      <c r="T53" s="23"/>
      <c r="W53" s="1" t="s">
        <v>2</v>
      </c>
      <c r="X53" s="1">
        <f>COUNT(França_played)</f>
        <v>0</v>
      </c>
      <c r="Y53" s="1">
        <f>COUNTIF($J$8:$J$55,$W53)</f>
        <v>0</v>
      </c>
      <c r="Z53" s="1">
        <f>COUNTIF($K$8:$K$55,$W53)</f>
        <v>0</v>
      </c>
      <c r="AA53" s="1">
        <f>X53-Y53-Z53</f>
        <v>0</v>
      </c>
      <c r="AB53" s="1">
        <f>SUM(França_played)</f>
        <v>0</v>
      </c>
      <c r="AC53" s="1">
        <f>SUM(França_against)</f>
        <v>0</v>
      </c>
      <c r="AD53" s="1">
        <f>AB53-AC53</f>
        <v>0</v>
      </c>
      <c r="AE53" s="1">
        <f>Y53*3+AA53</f>
        <v>0</v>
      </c>
      <c r="AF53" s="1" t="str">
        <f>IF($AE53&gt;=$AE54,$W53,$W54)</f>
        <v>França</v>
      </c>
      <c r="AG53" s="1">
        <f>VLOOKUP($AF53,$W53:$AE56,9,FALSE)</f>
        <v>0</v>
      </c>
      <c r="AH53" s="1" t="str">
        <f>IF($AG53&gt;=$AG55,$AF53,$AF55)</f>
        <v>França</v>
      </c>
      <c r="AI53" s="1">
        <f>VLOOKUP($AH53,$W53:$AE56,9,FALSE)</f>
        <v>0</v>
      </c>
      <c r="AJ53" s="1" t="str">
        <f>IF($AI53&gt;=$AI56,$AH53,$AH56)</f>
        <v>França</v>
      </c>
      <c r="AK53" s="1">
        <f>VLOOKUP($AJ53,$W53:$AE56,9,FALSE)</f>
        <v>0</v>
      </c>
      <c r="AL53" s="1">
        <f>VLOOKUP($AJ53,$W53:$AE56,8,FALSE)</f>
        <v>0</v>
      </c>
      <c r="AM53" s="1" t="str">
        <f>IF(AND($AK53=$AK54,$AL54&gt;$AL53),$AJ54,$AJ53)</f>
        <v>França</v>
      </c>
      <c r="AN53" s="1">
        <f>VLOOKUP($AM53,$W53:$AE56,9,FALSE)</f>
        <v>0</v>
      </c>
      <c r="AO53" s="1">
        <f>VLOOKUP($AM53,$W53:$AE56,8,FALSE)</f>
        <v>0</v>
      </c>
      <c r="AP53" s="1" t="str">
        <f>IF(AND($AN53=$AN55,$AO55&gt;$AO53),$AM55,$AM53)</f>
        <v>França</v>
      </c>
      <c r="AQ53" s="1">
        <f>VLOOKUP($AP53,$W53:$AE56,9,FALSE)</f>
        <v>0</v>
      </c>
      <c r="AR53" s="1">
        <f>VLOOKUP($AP53,$W53:$AE56,8,FALSE)</f>
        <v>0</v>
      </c>
      <c r="AS53" s="1" t="str">
        <f>IF(AND($AQ53=$AQ56,$AR56&gt;$AR53),$AP56,$AP53)</f>
        <v>França</v>
      </c>
      <c r="AT53" s="1">
        <f>VLOOKUP($AS53,$W53:$AE56,9,FALSE)</f>
        <v>0</v>
      </c>
      <c r="AU53" s="1">
        <f>VLOOKUP($AS53,$W53:$AE56,8,FALSE)</f>
        <v>0</v>
      </c>
      <c r="AV53" s="1">
        <f>VLOOKUP($AS53,$W53:$AE56,6,FALSE)</f>
        <v>0</v>
      </c>
      <c r="AW53" s="1" t="str">
        <f>IF(AND($AT53=$AT54,$AU53=$AU54,$AV54&gt;$AV53),$AS54,$AS53)</f>
        <v>França</v>
      </c>
      <c r="AX53" s="1">
        <f>VLOOKUP($AW53,$W53:$AE56,9,FALSE)</f>
        <v>0</v>
      </c>
      <c r="AY53" s="1">
        <f>VLOOKUP($AW53,$W53:$AE56,8,FALSE)</f>
        <v>0</v>
      </c>
      <c r="AZ53" s="1">
        <f>VLOOKUP($AW53,$W53:$AE56,6,FALSE)</f>
        <v>0</v>
      </c>
      <c r="BA53" s="1" t="str">
        <f>IF(AND($AX53=$AX55,$AY53=$AY55,$AZ55&gt;$AZ53),$AW55,$AW53)</f>
        <v>França</v>
      </c>
      <c r="BB53" s="1">
        <f>VLOOKUP($BA53,$W53:$AE56,9,FALSE)</f>
        <v>0</v>
      </c>
      <c r="BC53" s="1">
        <f>VLOOKUP($BA53,$W53:$AE56,8,FALSE)</f>
        <v>0</v>
      </c>
      <c r="BD53" s="1">
        <f>VLOOKUP($BA53,$W53:$AE56,6,FALSE)</f>
        <v>0</v>
      </c>
      <c r="BE53" s="1" t="str">
        <f>IF(AND($BB53=$BB56,$BC53=$BC56,$BD56&gt;$BD53),$BA56,$BA53)</f>
        <v>França</v>
      </c>
      <c r="BF53" s="1">
        <f>VLOOKUP($BE53,$W53:$AE56,9,FALSE)</f>
        <v>0</v>
      </c>
      <c r="BG53" s="1">
        <f>VLOOKUP($BE53,$W53:$AE56,8,FALSE)</f>
        <v>0</v>
      </c>
      <c r="BH53" s="1">
        <f>VLOOKUP($BE53,$W53:$AE56,6,FALSE)</f>
        <v>0</v>
      </c>
      <c r="BL53" s="1" t="str">
        <f>BE53</f>
        <v>França</v>
      </c>
      <c r="BM53" s="1">
        <f>VLOOKUP($BL53,$W53:$AE56,2,FALSE)</f>
        <v>0</v>
      </c>
      <c r="BN53" s="1">
        <f>VLOOKUP($BL53,$W53:$AE56,3,FALSE)</f>
        <v>0</v>
      </c>
      <c r="BO53" s="1">
        <f>VLOOKUP($BL53,$W53:$AE56,4,FALSE)</f>
        <v>0</v>
      </c>
      <c r="BP53" s="1">
        <f>VLOOKUP($BL53,$W53:$AE56,5,FALSE)</f>
        <v>0</v>
      </c>
      <c r="BQ53" s="1">
        <f>VLOOKUP($BL53,$W53:$AE56,6,FALSE)</f>
        <v>0</v>
      </c>
      <c r="BR53" s="1">
        <f>VLOOKUP($BL53,$W53:$AE56,7,FALSE)</f>
        <v>0</v>
      </c>
      <c r="BS53" s="1">
        <f>VLOOKUP($BL53,$W53:$AE56,8,FALSE)</f>
        <v>0</v>
      </c>
      <c r="BT53" s="1">
        <f>VLOOKUP($BL53,$W53:$AE56,9,FALSE)</f>
        <v>0</v>
      </c>
    </row>
    <row r="54" spans="1:72" ht="15" customHeight="1">
      <c r="A54" s="11">
        <v>47</v>
      </c>
      <c r="B54" s="32">
        <v>38891</v>
      </c>
      <c r="C54" s="33">
        <v>0.625</v>
      </c>
      <c r="D54" s="35" t="s">
        <v>64</v>
      </c>
      <c r="E54" s="26"/>
      <c r="F54" s="26"/>
      <c r="G54" s="38" t="s">
        <v>5</v>
      </c>
      <c r="H54" s="11" t="s">
        <v>78</v>
      </c>
      <c r="I54" s="11" t="s">
        <v>23</v>
      </c>
      <c r="J54" s="1">
        <f t="shared" si="2"/>
      </c>
      <c r="K54" s="1">
        <f t="shared" si="1"/>
      </c>
      <c r="L54" s="47"/>
      <c r="M54" s="20" t="s">
        <v>43</v>
      </c>
      <c r="N54" s="20" t="s">
        <v>38</v>
      </c>
      <c r="O54" s="20" t="s">
        <v>11</v>
      </c>
      <c r="P54" s="20" t="s">
        <v>13</v>
      </c>
      <c r="Q54" s="20" t="s">
        <v>39</v>
      </c>
      <c r="R54" s="20" t="s">
        <v>40</v>
      </c>
      <c r="S54" s="20" t="s">
        <v>41</v>
      </c>
      <c r="T54" s="21" t="s">
        <v>44</v>
      </c>
      <c r="W54" s="1" t="s">
        <v>60</v>
      </c>
      <c r="X54" s="1">
        <f>COUNT(Suiça_played)</f>
        <v>0</v>
      </c>
      <c r="Y54" s="1">
        <f>COUNTIF($J$8:$J$55,$W54)</f>
        <v>0</v>
      </c>
      <c r="Z54" s="1">
        <f>COUNTIF($K$8:$K$55,$W54)</f>
        <v>0</v>
      </c>
      <c r="AA54" s="1">
        <f>X54-Y54-Z54</f>
        <v>0</v>
      </c>
      <c r="AB54" s="1">
        <f>SUM(Suiça_played)</f>
        <v>0</v>
      </c>
      <c r="AC54" s="1">
        <f>SUM(Suiça_against)</f>
        <v>0</v>
      </c>
      <c r="AD54" s="1">
        <f>AB54-AC54</f>
        <v>0</v>
      </c>
      <c r="AE54" s="1">
        <f>Y54*3+AA54</f>
        <v>0</v>
      </c>
      <c r="AF54" s="1" t="str">
        <f>IF($AE54&lt;=$AE53,$W54,$W53)</f>
        <v>Suiça</v>
      </c>
      <c r="AG54" s="1">
        <f>VLOOKUP($AF54,$W53:$AE56,9,FALSE)</f>
        <v>0</v>
      </c>
      <c r="AH54" s="1" t="str">
        <f>IF(AG54&gt;=AG56,AF54,AF56)</f>
        <v>Suiça</v>
      </c>
      <c r="AI54" s="1">
        <f>VLOOKUP($AH54,$W53:$AE56,9,FALSE)</f>
        <v>0</v>
      </c>
      <c r="AJ54" s="1" t="str">
        <f>IF($AI54&gt;=$AI55,$AH54,$AH55)</f>
        <v>Suiça</v>
      </c>
      <c r="AK54" s="1">
        <f>VLOOKUP($AJ54,$W53:$AE56,9,FALSE)</f>
        <v>0</v>
      </c>
      <c r="AL54" s="1">
        <f>VLOOKUP($AJ54,$W53:$AE56,8,FALSE)</f>
        <v>0</v>
      </c>
      <c r="AM54" s="1" t="str">
        <f>IF(AND($AK53=$AK54,$AL54&gt;$AL53),$AJ53,$AJ54)</f>
        <v>Suiça</v>
      </c>
      <c r="AN54" s="1">
        <f>VLOOKUP($AM54,$W53:$AE56,9,FALSE)</f>
        <v>0</v>
      </c>
      <c r="AO54" s="1">
        <f>VLOOKUP($AM54,$W53:$AE56,8,FALSE)</f>
        <v>0</v>
      </c>
      <c r="AP54" s="1" t="str">
        <f>IF(AND($AN54=$AN56,$AO56&gt;$AO54),$AM56,$AM54)</f>
        <v>Suiça</v>
      </c>
      <c r="AQ54" s="1">
        <f>VLOOKUP($AP54,$W53:$AE56,9,FALSE)</f>
        <v>0</v>
      </c>
      <c r="AR54" s="1">
        <f>VLOOKUP($AP54,$W53:$AE56,8,FALSE)</f>
        <v>0</v>
      </c>
      <c r="AS54" s="1" t="str">
        <f>IF(AND($AQ54=$AQ55,$AR55&gt;$AR54),$AP55,$AP54)</f>
        <v>Suiça</v>
      </c>
      <c r="AT54" s="1">
        <f>VLOOKUP($AS54,$W53:$AE56,9,FALSE)</f>
        <v>0</v>
      </c>
      <c r="AU54" s="1">
        <f>VLOOKUP($AS54,$W53:$AE56,8,FALSE)</f>
        <v>0</v>
      </c>
      <c r="AV54" s="1">
        <f>VLOOKUP($AS54,$W53:$AE56,6,FALSE)</f>
        <v>0</v>
      </c>
      <c r="AW54" s="1" t="str">
        <f>IF(AND($AT53=$AT54,$AU53=$AU54,$AV54&gt;$AV53),$AS53,$AS54)</f>
        <v>Suiça</v>
      </c>
      <c r="AX54" s="1">
        <f>VLOOKUP($AW54,$W53:$AE56,9,FALSE)</f>
        <v>0</v>
      </c>
      <c r="AY54" s="1">
        <f>VLOOKUP($AW54,$W53:$AE56,8,FALSE)</f>
        <v>0</v>
      </c>
      <c r="AZ54" s="1">
        <f>VLOOKUP($AW54,$W53:$AE56,6,FALSE)</f>
        <v>0</v>
      </c>
      <c r="BA54" s="1" t="str">
        <f>IF(AND($AX54=$AX56,$AY54=$AY56,$AZ56&gt;$AZ54),$AW56,$AW54)</f>
        <v>Suiça</v>
      </c>
      <c r="BB54" s="1">
        <f>VLOOKUP($BA54,$W53:$AE56,9,FALSE)</f>
        <v>0</v>
      </c>
      <c r="BC54" s="1">
        <f>VLOOKUP($BA54,$W53:$AE56,8,FALSE)</f>
        <v>0</v>
      </c>
      <c r="BD54" s="1">
        <f>VLOOKUP($BA54,$W53:$AE56,6,FALSE)</f>
        <v>0</v>
      </c>
      <c r="BE54" s="1" t="str">
        <f>IF(AND($BB54=$BB55,$BC54=$BC55,$BD55&gt;$BD54),$BA55,$BA54)</f>
        <v>Suiça</v>
      </c>
      <c r="BF54" s="1">
        <f>VLOOKUP($BE54,$W53:$AE56,9,FALSE)</f>
        <v>0</v>
      </c>
      <c r="BG54" s="1">
        <f>VLOOKUP($BE54,$W53:$AE56,8,FALSE)</f>
        <v>0</v>
      </c>
      <c r="BH54" s="1">
        <f>VLOOKUP($BE54,$W53:$AE56,6,FALSE)</f>
        <v>0</v>
      </c>
      <c r="BL54" s="1" t="str">
        <f>BE54</f>
        <v>Suiça</v>
      </c>
      <c r="BM54" s="1">
        <f>VLOOKUP($BL54,$W53:$AE56,2,FALSE)</f>
        <v>0</v>
      </c>
      <c r="BN54" s="1">
        <f>VLOOKUP($BL54,$W53:$AE56,3,FALSE)</f>
        <v>0</v>
      </c>
      <c r="BO54" s="1">
        <f>VLOOKUP($BL54,$W53:$AE56,4,FALSE)</f>
        <v>0</v>
      </c>
      <c r="BP54" s="1">
        <f>VLOOKUP($BL54,$W53:$AE56,5,FALSE)</f>
        <v>0</v>
      </c>
      <c r="BQ54" s="1">
        <f>VLOOKUP($BL54,$W53:$AE56,6,FALSE)</f>
        <v>0</v>
      </c>
      <c r="BR54" s="1">
        <f>VLOOKUP($BL54,$W53:$AE56,7,FALSE)</f>
        <v>0</v>
      </c>
      <c r="BS54" s="1">
        <f>VLOOKUP($BL54,$W53:$AE56,8,FALSE)</f>
        <v>0</v>
      </c>
      <c r="BT54" s="1">
        <f>VLOOKUP($BL54,$W53:$AE56,9,FALSE)</f>
        <v>0</v>
      </c>
    </row>
    <row r="55" spans="1:72" ht="15" customHeight="1">
      <c r="A55" s="11">
        <v>48</v>
      </c>
      <c r="B55" s="32">
        <v>38891</v>
      </c>
      <c r="C55" s="33">
        <v>0.625</v>
      </c>
      <c r="D55" s="35" t="s">
        <v>63</v>
      </c>
      <c r="E55" s="26"/>
      <c r="F55" s="26"/>
      <c r="G55" s="38" t="s">
        <v>25</v>
      </c>
      <c r="H55" s="11" t="s">
        <v>75</v>
      </c>
      <c r="I55" s="11" t="s">
        <v>23</v>
      </c>
      <c r="J55" s="1">
        <f t="shared" si="2"/>
      </c>
      <c r="K55" s="1">
        <f t="shared" si="1"/>
      </c>
      <c r="L55" s="12" t="str">
        <f aca="true" t="shared" si="9" ref="L55:T58">BL60</f>
        <v>Espanha</v>
      </c>
      <c r="M55" s="13">
        <f t="shared" si="9"/>
        <v>0</v>
      </c>
      <c r="N55" s="13">
        <f t="shared" si="9"/>
        <v>0</v>
      </c>
      <c r="O55" s="13">
        <f t="shared" si="9"/>
        <v>0</v>
      </c>
      <c r="P55" s="13">
        <f t="shared" si="9"/>
        <v>0</v>
      </c>
      <c r="Q55" s="13">
        <f t="shared" si="9"/>
        <v>0</v>
      </c>
      <c r="R55" s="13">
        <f t="shared" si="9"/>
        <v>0</v>
      </c>
      <c r="S55" s="13">
        <f t="shared" si="9"/>
        <v>0</v>
      </c>
      <c r="T55" s="14">
        <f t="shared" si="9"/>
        <v>0</v>
      </c>
      <c r="W55" s="1" t="s">
        <v>61</v>
      </c>
      <c r="X55" s="1">
        <f>COUNT(Coreia_played)</f>
        <v>0</v>
      </c>
      <c r="Y55" s="1">
        <f>COUNTIF($J$8:$J$55,$W55)</f>
        <v>0</v>
      </c>
      <c r="Z55" s="1">
        <f>COUNTIF($K$8:$K$55,$W55)</f>
        <v>0</v>
      </c>
      <c r="AA55" s="1">
        <f>X55-Y55-Z55</f>
        <v>0</v>
      </c>
      <c r="AB55" s="1">
        <f>SUM(Coreia_played)</f>
        <v>0</v>
      </c>
      <c r="AC55" s="1">
        <f>SUM(Coreia_against)</f>
        <v>0</v>
      </c>
      <c r="AD55" s="1">
        <f>AB55-AC55</f>
        <v>0</v>
      </c>
      <c r="AE55" s="1">
        <f>Y55*3+AA55</f>
        <v>0</v>
      </c>
      <c r="AF55" s="1" t="str">
        <f>IF($AE55&gt;=$AE56,$W55,$W56)</f>
        <v>Coreia Sul</v>
      </c>
      <c r="AG55" s="1">
        <f>VLOOKUP($AF55,$W53:$AE56,9,FALSE)</f>
        <v>0</v>
      </c>
      <c r="AH55" s="1" t="str">
        <f>IF($AG55&lt;=$AG53,$AF55,$AF53)</f>
        <v>Coreia Sul</v>
      </c>
      <c r="AI55" s="1">
        <f>VLOOKUP($AH55,$W53:$AE56,9,FALSE)</f>
        <v>0</v>
      </c>
      <c r="AJ55" s="1" t="str">
        <f>IF($AI55&lt;=$AI54,$AH55,$AH54)</f>
        <v>Coreia Sul</v>
      </c>
      <c r="AK55" s="1">
        <f>VLOOKUP($AJ55,$W53:$AE56,9,FALSE)</f>
        <v>0</v>
      </c>
      <c r="AL55" s="1">
        <f>VLOOKUP($AJ55,$W53:$AE56,8,FALSE)</f>
        <v>0</v>
      </c>
      <c r="AM55" s="1" t="str">
        <f>IF(AND($AK55=$AK56,$AL56&gt;$AL55),$AJ56,$AJ55)</f>
        <v>Coreia Sul</v>
      </c>
      <c r="AN55" s="1">
        <f>VLOOKUP($AM55,$W53:$AE56,9,FALSE)</f>
        <v>0</v>
      </c>
      <c r="AO55" s="1">
        <f>VLOOKUP($AM55,$W53:$AE56,8,FALSE)</f>
        <v>0</v>
      </c>
      <c r="AP55" s="1" t="str">
        <f>IF(AND($AN53=$AN55,$AO55&gt;$AO53),$AM53,$AM55)</f>
        <v>Coreia Sul</v>
      </c>
      <c r="AQ55" s="1">
        <f>VLOOKUP($AP55,$W53:$AE56,9,FALSE)</f>
        <v>0</v>
      </c>
      <c r="AR55" s="1">
        <f>VLOOKUP($AP55,$W53:$AE56,8,FALSE)</f>
        <v>0</v>
      </c>
      <c r="AS55" s="1" t="str">
        <f>IF(AND($AQ54=$AQ55,$AR55&gt;$AR54),$AP54,$AP55)</f>
        <v>Coreia Sul</v>
      </c>
      <c r="AT55" s="1">
        <f>VLOOKUP($AS55,$W53:$AE56,9,FALSE)</f>
        <v>0</v>
      </c>
      <c r="AU55" s="1">
        <f>VLOOKUP($AS55,$W53:$AE56,8,FALSE)</f>
        <v>0</v>
      </c>
      <c r="AV55" s="1">
        <f>VLOOKUP($AS55,$W53:$AE56,6,FALSE)</f>
        <v>0</v>
      </c>
      <c r="AW55" s="1" t="str">
        <f>IF(AND($AT55=$AT56,$AU55=$AU56,$AV56&gt;$AV55),$AS56,$AS55)</f>
        <v>Coreia Sul</v>
      </c>
      <c r="AX55" s="1">
        <f>VLOOKUP($AW55,$W53:$AE56,9,FALSE)</f>
        <v>0</v>
      </c>
      <c r="AY55" s="1">
        <f>VLOOKUP($AW55,$W53:$AE56,8,FALSE)</f>
        <v>0</v>
      </c>
      <c r="AZ55" s="1">
        <f>VLOOKUP($AW55,$W53:$AE56,6,FALSE)</f>
        <v>0</v>
      </c>
      <c r="BA55" s="1" t="str">
        <f>IF(AND($AX53=$AX55,$AY53=$AY55,$AZ54&gt;$AZ53),$AW53,$AW55)</f>
        <v>Coreia Sul</v>
      </c>
      <c r="BB55" s="1">
        <f>VLOOKUP($BA55,$W53:$AE56,9,FALSE)</f>
        <v>0</v>
      </c>
      <c r="BC55" s="1">
        <f>VLOOKUP($BA55,$W53:$AE56,8,FALSE)</f>
        <v>0</v>
      </c>
      <c r="BD55" s="1">
        <f>VLOOKUP($BA55,$W53:$AE56,6,FALSE)</f>
        <v>0</v>
      </c>
      <c r="BE55" s="1" t="str">
        <f>IF(AND($BB54=$BB55,$BC54=$BC55,$BD55&gt;$BD54),$BA54,$BA55)</f>
        <v>Coreia Sul</v>
      </c>
      <c r="BF55" s="1">
        <f>VLOOKUP($BE55,$W53:$AE56,9,FALSE)</f>
        <v>0</v>
      </c>
      <c r="BG55" s="1">
        <f>VLOOKUP($BE55,$W53:$AE56,8,FALSE)</f>
        <v>0</v>
      </c>
      <c r="BH55" s="1">
        <f>VLOOKUP($BE55,$W53:$AE56,6,FALSE)</f>
        <v>0</v>
      </c>
      <c r="BL55" s="1" t="str">
        <f>BE55</f>
        <v>Coreia Sul</v>
      </c>
      <c r="BM55" s="1">
        <f>VLOOKUP($BL55,$W53:$AE56,2,FALSE)</f>
        <v>0</v>
      </c>
      <c r="BN55" s="1">
        <f>VLOOKUP($BL55,$W53:$AE56,3,FALSE)</f>
        <v>0</v>
      </c>
      <c r="BO55" s="1">
        <f>VLOOKUP($BL55,$W53:$AE56,4,FALSE)</f>
        <v>0</v>
      </c>
      <c r="BP55" s="1">
        <f>VLOOKUP($BL55,$W53:$AE56,5,FALSE)</f>
        <v>0</v>
      </c>
      <c r="BQ55" s="1">
        <f>VLOOKUP($BL55,$W53:$AE56,6,FALSE)</f>
        <v>0</v>
      </c>
      <c r="BR55" s="1">
        <f>VLOOKUP($BL55,$W53:$AE56,7,FALSE)</f>
        <v>0</v>
      </c>
      <c r="BS55" s="1">
        <f>VLOOKUP($BL55,$W53:$AE56,8,FALSE)</f>
        <v>0</v>
      </c>
      <c r="BT55" s="1">
        <f>VLOOKUP($BL55,$W53:$AE56,9,FALSE)</f>
        <v>0</v>
      </c>
    </row>
    <row r="56" spans="12:72" ht="15" customHeight="1">
      <c r="L56" s="15" t="str">
        <f t="shared" si="9"/>
        <v>Ucrânia</v>
      </c>
      <c r="M56" s="11">
        <f t="shared" si="9"/>
        <v>0</v>
      </c>
      <c r="N56" s="11">
        <f t="shared" si="9"/>
        <v>0</v>
      </c>
      <c r="O56" s="11">
        <f t="shared" si="9"/>
        <v>0</v>
      </c>
      <c r="P56" s="11">
        <f t="shared" si="9"/>
        <v>0</v>
      </c>
      <c r="Q56" s="11">
        <f t="shared" si="9"/>
        <v>0</v>
      </c>
      <c r="R56" s="11">
        <f t="shared" si="9"/>
        <v>0</v>
      </c>
      <c r="S56" s="11">
        <f t="shared" si="9"/>
        <v>0</v>
      </c>
      <c r="T56" s="16">
        <f t="shared" si="9"/>
        <v>0</v>
      </c>
      <c r="W56" s="1" t="s">
        <v>62</v>
      </c>
      <c r="X56" s="1">
        <f>COUNT(Togo_played)</f>
        <v>0</v>
      </c>
      <c r="Y56" s="1">
        <f>COUNTIF($J$8:$J$55,$W56)</f>
        <v>0</v>
      </c>
      <c r="Z56" s="1">
        <f>COUNTIF($K$8:$K$55,$W56)</f>
        <v>0</v>
      </c>
      <c r="AA56" s="1">
        <f>X56-Y56-Z56</f>
        <v>0</v>
      </c>
      <c r="AB56" s="1">
        <f>SUM(Togo_played)</f>
        <v>0</v>
      </c>
      <c r="AC56" s="1">
        <f>SUM(Togo_against)</f>
        <v>0</v>
      </c>
      <c r="AD56" s="1">
        <f>AB56-AC56</f>
        <v>0</v>
      </c>
      <c r="AE56" s="1">
        <f>Y56*3+AA56</f>
        <v>0</v>
      </c>
      <c r="AF56" s="1" t="str">
        <f>IF($AE56&lt;=$AE55,$W56,$W55)</f>
        <v>Togo</v>
      </c>
      <c r="AG56" s="1">
        <f>VLOOKUP($AF56,$W53:$AE56,9,FALSE)</f>
        <v>0</v>
      </c>
      <c r="AH56" s="1" t="str">
        <f>IF(AG56&lt;=AG54,AF56,AF54)</f>
        <v>Togo</v>
      </c>
      <c r="AI56" s="1">
        <f>VLOOKUP($AH56,$W53:$AE56,9,FALSE)</f>
        <v>0</v>
      </c>
      <c r="AJ56" s="1" t="str">
        <f>IF($AI56&lt;=$AI53,$AH56,$AH53)</f>
        <v>Togo</v>
      </c>
      <c r="AK56" s="1">
        <f>VLOOKUP($AJ56,$W53:$AE56,9,FALSE)</f>
        <v>0</v>
      </c>
      <c r="AL56" s="1">
        <f>VLOOKUP($AJ56,$W53:$AE56,8,FALSE)</f>
        <v>0</v>
      </c>
      <c r="AM56" s="1" t="str">
        <f>IF(AND($AK55=$AK56,$AL56&gt;$AL55),$AJ55,$AJ56)</f>
        <v>Togo</v>
      </c>
      <c r="AN56" s="1">
        <f>VLOOKUP($AM56,$W53:$AE56,9,FALSE)</f>
        <v>0</v>
      </c>
      <c r="AO56" s="1">
        <f>VLOOKUP($AM56,$W53:$AE56,8,FALSE)</f>
        <v>0</v>
      </c>
      <c r="AP56" s="1" t="str">
        <f>IF(AND($AN54=$AN56,$AO56&gt;$AO54),$AM54,$AM56)</f>
        <v>Togo</v>
      </c>
      <c r="AQ56" s="1">
        <f>VLOOKUP($AP56,$W53:$AE56,9,FALSE)</f>
        <v>0</v>
      </c>
      <c r="AR56" s="1">
        <f>VLOOKUP($AP56,$W53:$AE56,8,FALSE)</f>
        <v>0</v>
      </c>
      <c r="AS56" s="1" t="str">
        <f>IF(AND($AQ53=$AQ56,$AR56&gt;$AR53),$AP53,$AP56)</f>
        <v>Togo</v>
      </c>
      <c r="AT56" s="1">
        <f>VLOOKUP($AS56,$W53:$AE56,9,FALSE)</f>
        <v>0</v>
      </c>
      <c r="AU56" s="1">
        <f>VLOOKUP($AS56,$W53:$AE56,8,FALSE)</f>
        <v>0</v>
      </c>
      <c r="AV56" s="1">
        <f>VLOOKUP($AS56,$W53:$AE56,6,FALSE)</f>
        <v>0</v>
      </c>
      <c r="AW56" s="1" t="str">
        <f>IF(AND($AT55=$AT56,$AU55=$AU56,$AV56&gt;$AV55),$AS55,$AS56)</f>
        <v>Togo</v>
      </c>
      <c r="AX56" s="1">
        <f>VLOOKUP($AW56,$W53:$AE56,9,FALSE)</f>
        <v>0</v>
      </c>
      <c r="AY56" s="1">
        <f>VLOOKUP($AW56,$W53:$AE56,8,FALSE)</f>
        <v>0</v>
      </c>
      <c r="AZ56" s="1">
        <f>VLOOKUP($AW56,$W53:$AE56,6,FALSE)</f>
        <v>0</v>
      </c>
      <c r="BA56" s="1" t="str">
        <f>IF(AND($AX54=$AX56,$AY54=$AY56,$AZ56&gt;$AZ54),$AW54,$AW56)</f>
        <v>Togo</v>
      </c>
      <c r="BB56" s="1">
        <f>VLOOKUP($BA56,$W53:$AE56,9,FALSE)</f>
        <v>0</v>
      </c>
      <c r="BC56" s="1">
        <f>VLOOKUP($BA56,$W53:$AE56,8,FALSE)</f>
        <v>0</v>
      </c>
      <c r="BD56" s="1">
        <f>VLOOKUP($BA56,$W53:$AE56,6,FALSE)</f>
        <v>0</v>
      </c>
      <c r="BE56" s="1" t="str">
        <f>IF(AND($BB53=$BB56,$BC53=$BC56,$BD56&gt;$BD53),$BA53,$BA56)</f>
        <v>Togo</v>
      </c>
      <c r="BF56" s="1">
        <f>VLOOKUP($BE56,$W53:$AE56,9,FALSE)</f>
        <v>0</v>
      </c>
      <c r="BG56" s="1">
        <f>VLOOKUP($BE56,$W53:$AE56,8,FALSE)</f>
        <v>0</v>
      </c>
      <c r="BH56" s="1">
        <f>VLOOKUP($BE56,$W53:$AE56,6,FALSE)</f>
        <v>0</v>
      </c>
      <c r="BL56" s="1" t="str">
        <f>BE56</f>
        <v>Togo</v>
      </c>
      <c r="BM56" s="1">
        <f>VLOOKUP($BL56,$W53:$AE56,2,FALSE)</f>
        <v>0</v>
      </c>
      <c r="BN56" s="1">
        <f>VLOOKUP($BL56,$W53:$AE56,3,FALSE)</f>
        <v>0</v>
      </c>
      <c r="BO56" s="1">
        <f>VLOOKUP($BL56,$W53:$AE56,4,FALSE)</f>
        <v>0</v>
      </c>
      <c r="BP56" s="1">
        <f>VLOOKUP($BL56,$W53:$AE56,5,FALSE)</f>
        <v>0</v>
      </c>
      <c r="BQ56" s="1">
        <f>VLOOKUP($BL56,$W53:$AE56,6,FALSE)</f>
        <v>0</v>
      </c>
      <c r="BR56" s="1">
        <f>VLOOKUP($BL56,$W53:$AE56,7,FALSE)</f>
        <v>0</v>
      </c>
      <c r="BS56" s="1">
        <f>VLOOKUP($BL56,$W53:$AE56,8,FALSE)</f>
        <v>0</v>
      </c>
      <c r="BT56" s="1">
        <f>VLOOKUP($BL56,$W53:$AE56,9,FALSE)</f>
        <v>0</v>
      </c>
    </row>
    <row r="57" spans="10:20" ht="15" customHeight="1">
      <c r="J57" s="4"/>
      <c r="K57" s="4"/>
      <c r="L57" s="15" t="str">
        <f t="shared" si="9"/>
        <v>Tunísia</v>
      </c>
      <c r="M57" s="11">
        <f t="shared" si="9"/>
        <v>0</v>
      </c>
      <c r="N57" s="11">
        <f t="shared" si="9"/>
        <v>0</v>
      </c>
      <c r="O57" s="11">
        <f t="shared" si="9"/>
        <v>0</v>
      </c>
      <c r="P57" s="11">
        <f t="shared" si="9"/>
        <v>0</v>
      </c>
      <c r="Q57" s="11">
        <f t="shared" si="9"/>
        <v>0</v>
      </c>
      <c r="R57" s="11">
        <f t="shared" si="9"/>
        <v>0</v>
      </c>
      <c r="S57" s="11">
        <f t="shared" si="9"/>
        <v>0</v>
      </c>
      <c r="T57" s="16">
        <f t="shared" si="9"/>
        <v>0</v>
      </c>
    </row>
    <row r="58" spans="10:23" ht="15" customHeight="1">
      <c r="J58" s="4"/>
      <c r="K58" s="4"/>
      <c r="L58" s="17" t="str">
        <f t="shared" si="9"/>
        <v>A.Saudita</v>
      </c>
      <c r="M58" s="18">
        <f t="shared" si="9"/>
        <v>0</v>
      </c>
      <c r="N58" s="18">
        <f t="shared" si="9"/>
        <v>0</v>
      </c>
      <c r="O58" s="18">
        <f t="shared" si="9"/>
        <v>0</v>
      </c>
      <c r="P58" s="18">
        <f t="shared" si="9"/>
        <v>0</v>
      </c>
      <c r="Q58" s="18">
        <f t="shared" si="9"/>
        <v>0</v>
      </c>
      <c r="R58" s="18">
        <f t="shared" si="9"/>
        <v>0</v>
      </c>
      <c r="S58" s="18">
        <f t="shared" si="9"/>
        <v>0</v>
      </c>
      <c r="T58" s="19">
        <f t="shared" si="9"/>
        <v>0</v>
      </c>
      <c r="W58" s="1" t="s">
        <v>36</v>
      </c>
    </row>
    <row r="59" spans="1:30" ht="22.5">
      <c r="A59" s="48"/>
      <c r="B59" s="44"/>
      <c r="C59" s="44"/>
      <c r="D59" s="44"/>
      <c r="E59" s="44"/>
      <c r="F59" s="44"/>
      <c r="G59" s="44"/>
      <c r="H59" s="44"/>
      <c r="I59" s="44"/>
      <c r="X59" s="1" t="s">
        <v>37</v>
      </c>
      <c r="Y59" s="1" t="s">
        <v>38</v>
      </c>
      <c r="Z59" s="1" t="s">
        <v>11</v>
      </c>
      <c r="AA59" s="1" t="s">
        <v>13</v>
      </c>
      <c r="AB59" s="1" t="s">
        <v>39</v>
      </c>
      <c r="AC59" s="1" t="s">
        <v>40</v>
      </c>
      <c r="AD59" s="1" t="s">
        <v>41</v>
      </c>
    </row>
    <row r="60" spans="1:72" ht="18">
      <c r="A60" s="24" t="s">
        <v>45</v>
      </c>
      <c r="B60" s="24" t="s">
        <v>0</v>
      </c>
      <c r="C60" s="24" t="s">
        <v>1</v>
      </c>
      <c r="D60" s="43" t="s">
        <v>66</v>
      </c>
      <c r="E60" s="42"/>
      <c r="F60" s="42"/>
      <c r="G60" s="42"/>
      <c r="H60" s="24" t="s">
        <v>47</v>
      </c>
      <c r="I60" s="31"/>
      <c r="J60" s="1">
        <f aca="true" t="shared" si="10" ref="J60:J66">IF(E62&lt;&gt;"",IF(E62&gt;F62,D62,IF(F62&gt;E62,G62,"Empate")),"")</f>
      </c>
      <c r="K60" s="1">
        <f aca="true" t="shared" si="11" ref="K60:K66">IF(E62&lt;&gt;"",IF(E62&lt;F62,D62,IF(F62&lt;E62,G62,"Empate")),"")</f>
      </c>
      <c r="W60" s="1" t="s">
        <v>5</v>
      </c>
      <c r="X60" s="1">
        <f>COUNT(Espanha_played)</f>
        <v>0</v>
      </c>
      <c r="Y60" s="1">
        <f>COUNTIF($J$8:$J$55,$W60)</f>
        <v>0</v>
      </c>
      <c r="Z60" s="1">
        <f>COUNTIF($K$8:$K$55,$W60)</f>
        <v>0</v>
      </c>
      <c r="AA60" s="1">
        <f>X60-Y60-Z60</f>
        <v>0</v>
      </c>
      <c r="AB60" s="1">
        <f>SUM(Espanha_played)</f>
        <v>0</v>
      </c>
      <c r="AC60" s="1">
        <f>SUM(Espanha_against)</f>
        <v>0</v>
      </c>
      <c r="AD60" s="1">
        <f>AB60-AC60</f>
        <v>0</v>
      </c>
      <c r="AE60" s="1">
        <f>Y60*3+AA60</f>
        <v>0</v>
      </c>
      <c r="AF60" s="1" t="str">
        <f>IF($AE60&gt;=$AE61,$W60,$W61)</f>
        <v>Espanha</v>
      </c>
      <c r="AG60" s="1">
        <f>VLOOKUP($AF60,$W60:$AE63,9,FALSE)</f>
        <v>0</v>
      </c>
      <c r="AH60" s="1" t="str">
        <f>IF($AG60&gt;=$AG62,$AF60,$AF62)</f>
        <v>Espanha</v>
      </c>
      <c r="AI60" s="1">
        <f>VLOOKUP($AH60,$W60:$AE63,9,FALSE)</f>
        <v>0</v>
      </c>
      <c r="AJ60" s="1" t="str">
        <f>IF($AI60&gt;=$AI63,$AH60,$AH63)</f>
        <v>Espanha</v>
      </c>
      <c r="AK60" s="1">
        <f>VLOOKUP($AJ60,$W60:$AE63,9,FALSE)</f>
        <v>0</v>
      </c>
      <c r="AL60" s="1">
        <f>VLOOKUP($AJ60,$W60:$AE63,8,FALSE)</f>
        <v>0</v>
      </c>
      <c r="AM60" s="1" t="str">
        <f>IF(AND($AK60=$AK61,$AL61&gt;$AL60),$AJ61,$AJ60)</f>
        <v>Espanha</v>
      </c>
      <c r="AN60" s="1">
        <f>VLOOKUP($AM60,$W60:$AE63,9,FALSE)</f>
        <v>0</v>
      </c>
      <c r="AO60" s="1">
        <f>VLOOKUP($AM60,$W60:$AE63,8,FALSE)</f>
        <v>0</v>
      </c>
      <c r="AP60" s="1" t="str">
        <f>IF(AND($AN60=$AN62,$AO62&gt;$AO60),$AM62,$AM60)</f>
        <v>Espanha</v>
      </c>
      <c r="AQ60" s="1">
        <f>VLOOKUP($AP60,$W60:$AE63,9,FALSE)</f>
        <v>0</v>
      </c>
      <c r="AR60" s="1">
        <f>VLOOKUP($AP60,$W60:$AE63,8,FALSE)</f>
        <v>0</v>
      </c>
      <c r="AS60" s="1" t="str">
        <f>IF(AND($AQ60=$AQ63,$AR63&gt;$AR60),$AP63,$AP60)</f>
        <v>Espanha</v>
      </c>
      <c r="AT60" s="1">
        <f>VLOOKUP($AS60,$W60:$AE63,9,FALSE)</f>
        <v>0</v>
      </c>
      <c r="AU60" s="1">
        <f>VLOOKUP($AS60,$W60:$AE63,8,FALSE)</f>
        <v>0</v>
      </c>
      <c r="AV60" s="1">
        <f>VLOOKUP($AS60,$W60:$AE63,6,FALSE)</f>
        <v>0</v>
      </c>
      <c r="AW60" s="1" t="str">
        <f>IF(AND($AT60=$AT61,$AU60=$AU61,$AV61&gt;$AV60),$AS61,$AS60)</f>
        <v>Espanha</v>
      </c>
      <c r="AX60" s="1">
        <f>VLOOKUP($AW60,$W60:$AE63,9,FALSE)</f>
        <v>0</v>
      </c>
      <c r="AY60" s="1">
        <f>VLOOKUP($AW60,$W60:$AE63,8,FALSE)</f>
        <v>0</v>
      </c>
      <c r="AZ60" s="1">
        <f>VLOOKUP($AW60,$W60:$AE63,6,FALSE)</f>
        <v>0</v>
      </c>
      <c r="BA60" s="1" t="str">
        <f>IF(AND($AX60=$AX62,$AY60=$AY62,$AZ62&gt;$AZ60),$AW62,$AW60)</f>
        <v>Espanha</v>
      </c>
      <c r="BB60" s="1">
        <f>VLOOKUP($BA60,$W60:$AE63,9,FALSE)</f>
        <v>0</v>
      </c>
      <c r="BC60" s="1">
        <f>VLOOKUP($BA60,$W60:$AE63,8,FALSE)</f>
        <v>0</v>
      </c>
      <c r="BD60" s="1">
        <f>VLOOKUP($BA60,$W60:$AE63,6,FALSE)</f>
        <v>0</v>
      </c>
      <c r="BE60" s="1" t="str">
        <f>IF(AND($BB60=$BB63,$BC60=$BC63,$BD63&gt;$BD60),$BA63,$BA60)</f>
        <v>Espanha</v>
      </c>
      <c r="BF60" s="1">
        <f>VLOOKUP($BE60,$W60:$AE63,9,FALSE)</f>
        <v>0</v>
      </c>
      <c r="BG60" s="1">
        <f>VLOOKUP($BE60,$W60:$AE63,8,FALSE)</f>
        <v>0</v>
      </c>
      <c r="BH60" s="1">
        <f>VLOOKUP($BE60,$W60:$AE63,6,FALSE)</f>
        <v>0</v>
      </c>
      <c r="BL60" s="1" t="str">
        <f>BE60</f>
        <v>Espanha</v>
      </c>
      <c r="BM60" s="1">
        <f>VLOOKUP($BL60,$W60:$AE63,2,FALSE)</f>
        <v>0</v>
      </c>
      <c r="BN60" s="1">
        <f>VLOOKUP($BL60,$W60:$AE63,3,FALSE)</f>
        <v>0</v>
      </c>
      <c r="BO60" s="1">
        <f>VLOOKUP($BL60,$W60:$AE63,4,FALSE)</f>
        <v>0</v>
      </c>
      <c r="BP60" s="1">
        <f>VLOOKUP($BL60,$W60:$AE63,5,FALSE)</f>
        <v>0</v>
      </c>
      <c r="BQ60" s="1">
        <f>VLOOKUP($BL60,$W60:$AE63,6,FALSE)</f>
        <v>0</v>
      </c>
      <c r="BR60" s="1">
        <f>VLOOKUP($BL60,$W60:$AE63,7,FALSE)</f>
        <v>0</v>
      </c>
      <c r="BS60" s="1">
        <f>VLOOKUP($BL60,$W60:$AE63,8,FALSE)</f>
        <v>0</v>
      </c>
      <c r="BT60" s="1">
        <f>VLOOKUP($BL60,$W60:$AE63,9,FALSE)</f>
        <v>0</v>
      </c>
    </row>
    <row r="61" spans="10:72" ht="12.75">
      <c r="J61" s="1">
        <f t="shared" si="10"/>
      </c>
      <c r="K61" s="1">
        <f t="shared" si="11"/>
      </c>
      <c r="W61" s="1" t="s">
        <v>63</v>
      </c>
      <c r="X61" s="1">
        <f>COUNT(Ucrânia_played)</f>
        <v>0</v>
      </c>
      <c r="Y61" s="1">
        <f>COUNTIF($J$8:$J$55,$W61)</f>
        <v>0</v>
      </c>
      <c r="Z61" s="1">
        <f>COUNTIF($K$8:$K$55,$W61)</f>
        <v>0</v>
      </c>
      <c r="AA61" s="1">
        <f>X61-Y61-Z61</f>
        <v>0</v>
      </c>
      <c r="AB61" s="1">
        <f>SUM(Ucrânia_played)</f>
        <v>0</v>
      </c>
      <c r="AC61" s="1">
        <f>SUM(Ucrânia_against)</f>
        <v>0</v>
      </c>
      <c r="AD61" s="1">
        <f>AB61-AC61</f>
        <v>0</v>
      </c>
      <c r="AE61" s="1">
        <f>Y61*3+AA61</f>
        <v>0</v>
      </c>
      <c r="AF61" s="1" t="str">
        <f>IF($AE61&lt;=$AE60,$W61,$W60)</f>
        <v>Ucrânia</v>
      </c>
      <c r="AG61" s="1">
        <f>VLOOKUP($AF61,$W60:$AE63,9,FALSE)</f>
        <v>0</v>
      </c>
      <c r="AH61" s="1" t="str">
        <f>IF(AG61&gt;=AG63,AF61,AF63)</f>
        <v>Ucrânia</v>
      </c>
      <c r="AI61" s="1">
        <f>VLOOKUP($AH61,$W60:$AE63,9,FALSE)</f>
        <v>0</v>
      </c>
      <c r="AJ61" s="1" t="str">
        <f>IF($AI61&gt;=$AI62,$AH61,$AH62)</f>
        <v>Ucrânia</v>
      </c>
      <c r="AK61" s="1">
        <f>VLOOKUP($AJ61,$W60:$AE63,9,FALSE)</f>
        <v>0</v>
      </c>
      <c r="AL61" s="1">
        <f>VLOOKUP($AJ61,$W60:$AE63,8,FALSE)</f>
        <v>0</v>
      </c>
      <c r="AM61" s="1" t="str">
        <f>IF(AND($AK60=$AK61,$AL61&gt;$AL60),$AJ60,$AJ61)</f>
        <v>Ucrânia</v>
      </c>
      <c r="AN61" s="1">
        <f>VLOOKUP($AM61,$W60:$AE63,9,FALSE)</f>
        <v>0</v>
      </c>
      <c r="AO61" s="1">
        <f>VLOOKUP($AM61,$W60:$AE63,8,FALSE)</f>
        <v>0</v>
      </c>
      <c r="AP61" s="1" t="str">
        <f>IF(AND($AN61=$AN63,$AO63&gt;$AO61),$AM63,$AM61)</f>
        <v>Ucrânia</v>
      </c>
      <c r="AQ61" s="1">
        <f>VLOOKUP($AP61,$W60:$AE63,9,FALSE)</f>
        <v>0</v>
      </c>
      <c r="AR61" s="1">
        <f>VLOOKUP($AP61,$W60:$AE63,8,FALSE)</f>
        <v>0</v>
      </c>
      <c r="AS61" s="1" t="str">
        <f>IF(AND($AQ61=$AQ62,$AR62&gt;$AR61),$AP62,$AP61)</f>
        <v>Ucrânia</v>
      </c>
      <c r="AT61" s="1">
        <f>VLOOKUP($AS61,$W60:$AE63,9,FALSE)</f>
        <v>0</v>
      </c>
      <c r="AU61" s="1">
        <f>VLOOKUP($AS61,$W60:$AE63,8,FALSE)</f>
        <v>0</v>
      </c>
      <c r="AV61" s="1">
        <f>VLOOKUP($AS61,$W60:$AE63,6,FALSE)</f>
        <v>0</v>
      </c>
      <c r="AW61" s="1" t="str">
        <f>IF(AND($AT60=$AT61,$AU60=$AU61,$AV61&gt;$AV60),$AS60,$AS61)</f>
        <v>Ucrânia</v>
      </c>
      <c r="AX61" s="1">
        <f>VLOOKUP($AW61,$W60:$AE63,9,FALSE)</f>
        <v>0</v>
      </c>
      <c r="AY61" s="1">
        <f>VLOOKUP($AW61,$W60:$AE63,8,FALSE)</f>
        <v>0</v>
      </c>
      <c r="AZ61" s="1">
        <f>VLOOKUP($AW61,$W60:$AE63,6,FALSE)</f>
        <v>0</v>
      </c>
      <c r="BA61" s="1" t="str">
        <f>IF(AND($AX61=$AX63,$AY61=$AY63,$AZ63&gt;$AZ61),$AW63,$AW61)</f>
        <v>Ucrânia</v>
      </c>
      <c r="BB61" s="1">
        <f>VLOOKUP($BA61,$W60:$AE63,9,FALSE)</f>
        <v>0</v>
      </c>
      <c r="BC61" s="1">
        <f>VLOOKUP($BA61,$W60:$AE63,8,FALSE)</f>
        <v>0</v>
      </c>
      <c r="BD61" s="1">
        <f>VLOOKUP($BA61,$W60:$AE63,6,FALSE)</f>
        <v>0</v>
      </c>
      <c r="BE61" s="1" t="str">
        <f>IF(AND($BB61=$BB62,$BC61=$BC62,$BD62&gt;$BD61),$BA62,$BA61)</f>
        <v>Ucrânia</v>
      </c>
      <c r="BF61" s="1">
        <f>VLOOKUP($BE61,$W60:$AE63,9,FALSE)</f>
        <v>0</v>
      </c>
      <c r="BG61" s="1">
        <f>VLOOKUP($BE61,$W60:$AE63,8,FALSE)</f>
        <v>0</v>
      </c>
      <c r="BH61" s="1">
        <f>VLOOKUP($BE61,$W60:$AE63,6,FALSE)</f>
        <v>0</v>
      </c>
      <c r="BL61" s="1" t="str">
        <f>BE61</f>
        <v>Ucrânia</v>
      </c>
      <c r="BM61" s="1">
        <f>VLOOKUP($BL61,$W60:$AE63,2,FALSE)</f>
        <v>0</v>
      </c>
      <c r="BN61" s="1">
        <f>VLOOKUP($BL61,$W60:$AE63,3,FALSE)</f>
        <v>0</v>
      </c>
      <c r="BO61" s="1">
        <f>VLOOKUP($BL61,$W60:$AE63,4,FALSE)</f>
        <v>0</v>
      </c>
      <c r="BP61" s="1">
        <f>VLOOKUP($BL61,$W60:$AE63,5,FALSE)</f>
        <v>0</v>
      </c>
      <c r="BQ61" s="1">
        <f>VLOOKUP($BL61,$W60:$AE63,6,FALSE)</f>
        <v>0</v>
      </c>
      <c r="BR61" s="1">
        <f>VLOOKUP($BL61,$W60:$AE63,7,FALSE)</f>
        <v>0</v>
      </c>
      <c r="BS61" s="1">
        <f>VLOOKUP($BL61,$W60:$AE63,8,FALSE)</f>
        <v>0</v>
      </c>
      <c r="BT61" s="1">
        <f>VLOOKUP($BL61,$W60:$AE63,9,FALSE)</f>
        <v>0</v>
      </c>
    </row>
    <row r="62" spans="1:72" ht="15">
      <c r="A62" s="11">
        <v>49</v>
      </c>
      <c r="B62" s="32">
        <v>38892</v>
      </c>
      <c r="C62" s="33">
        <v>0.6666666666666666</v>
      </c>
      <c r="D62" s="35" t="str">
        <f>IF(M6=3,L6,"Vencedor A")</f>
        <v>Vencedor A</v>
      </c>
      <c r="E62" s="26"/>
      <c r="F62" s="26"/>
      <c r="G62" s="38" t="str">
        <f>IF(M14=3,L14,"Segundo B")</f>
        <v>Segundo B</v>
      </c>
      <c r="H62" s="11" t="s">
        <v>71</v>
      </c>
      <c r="J62" s="1">
        <f t="shared" si="10"/>
      </c>
      <c r="K62" s="1">
        <f t="shared" si="11"/>
      </c>
      <c r="W62" s="1" t="s">
        <v>25</v>
      </c>
      <c r="X62" s="1">
        <f>COUNT(Tunísia_played)</f>
        <v>0</v>
      </c>
      <c r="Y62" s="1">
        <f>COUNTIF($J$8:$J$55,$W62)</f>
        <v>0</v>
      </c>
      <c r="Z62" s="1">
        <f>COUNTIF($K$8:$K$55,$W62)</f>
        <v>0</v>
      </c>
      <c r="AA62" s="1">
        <f>X62-Y62-Z62</f>
        <v>0</v>
      </c>
      <c r="AB62" s="1">
        <f>SUM(Tunísia_played)</f>
        <v>0</v>
      </c>
      <c r="AC62" s="1">
        <f>SUM(Tunísia_against)</f>
        <v>0</v>
      </c>
      <c r="AD62" s="1">
        <f>AB62-AC62</f>
        <v>0</v>
      </c>
      <c r="AE62" s="1">
        <f>Y62*3+AA62</f>
        <v>0</v>
      </c>
      <c r="AF62" s="1" t="str">
        <f>IF($AE62&gt;=$AE63,$W62,$W63)</f>
        <v>Tunísia</v>
      </c>
      <c r="AG62" s="1">
        <f>VLOOKUP($AF62,$W60:$AE63,9,FALSE)</f>
        <v>0</v>
      </c>
      <c r="AH62" s="1" t="str">
        <f>IF($AG62&lt;=$AG60,$AF62,$AF60)</f>
        <v>Tunísia</v>
      </c>
      <c r="AI62" s="1">
        <f>VLOOKUP($AH62,$W60:$AE63,9,FALSE)</f>
        <v>0</v>
      </c>
      <c r="AJ62" s="1" t="str">
        <f>IF($AI62&lt;=$AI61,$AH62,$AH61)</f>
        <v>Tunísia</v>
      </c>
      <c r="AK62" s="1">
        <f>VLOOKUP($AJ62,$W60:$AE63,9,FALSE)</f>
        <v>0</v>
      </c>
      <c r="AL62" s="1">
        <f>VLOOKUP($AJ62,$W60:$AE63,8,FALSE)</f>
        <v>0</v>
      </c>
      <c r="AM62" s="1" t="str">
        <f>IF(AND($AK62=$AK63,$AL63&gt;$AL62),$AJ63,$AJ62)</f>
        <v>Tunísia</v>
      </c>
      <c r="AN62" s="1">
        <f>VLOOKUP($AM62,$W60:$AE63,9,FALSE)</f>
        <v>0</v>
      </c>
      <c r="AO62" s="1">
        <f>VLOOKUP($AM62,$W60:$AE63,8,FALSE)</f>
        <v>0</v>
      </c>
      <c r="AP62" s="1" t="str">
        <f>IF(AND($AN60=$AN62,$AO62&gt;$AO60),$AM60,$AM62)</f>
        <v>Tunísia</v>
      </c>
      <c r="AQ62" s="1">
        <f>VLOOKUP($AP62,$W60:$AE63,9,FALSE)</f>
        <v>0</v>
      </c>
      <c r="AR62" s="1">
        <f>VLOOKUP($AP62,$W60:$AE63,8,FALSE)</f>
        <v>0</v>
      </c>
      <c r="AS62" s="1" t="str">
        <f>IF(AND($AQ61=$AQ62,$AR62&gt;$AR61),$AP61,$AP62)</f>
        <v>Tunísia</v>
      </c>
      <c r="AT62" s="1">
        <f>VLOOKUP($AS62,$W60:$AE63,9,FALSE)</f>
        <v>0</v>
      </c>
      <c r="AU62" s="1">
        <f>VLOOKUP($AS62,$W60:$AE63,8,FALSE)</f>
        <v>0</v>
      </c>
      <c r="AV62" s="1">
        <f>VLOOKUP($AS62,$W60:$AE63,6,FALSE)</f>
        <v>0</v>
      </c>
      <c r="AW62" s="1" t="str">
        <f>IF(AND($AT62=$AT63,$AU62=$AU63,$AV63&gt;$AV62),$AS63,$AS62)</f>
        <v>Tunísia</v>
      </c>
      <c r="AX62" s="1">
        <f>VLOOKUP($AW62,$W60:$AE63,9,FALSE)</f>
        <v>0</v>
      </c>
      <c r="AY62" s="1">
        <f>VLOOKUP($AW62,$W60:$AE63,8,FALSE)</f>
        <v>0</v>
      </c>
      <c r="AZ62" s="1">
        <f>VLOOKUP($AW62,$W60:$AE63,6,FALSE)</f>
        <v>0</v>
      </c>
      <c r="BA62" s="1" t="str">
        <f>IF(AND($AX60=$AX62,$AY60=$AY62,$AZ61&gt;$AZ60),$AW60,$AW62)</f>
        <v>Tunísia</v>
      </c>
      <c r="BB62" s="1">
        <f>VLOOKUP($BA62,$W60:$AE63,9,FALSE)</f>
        <v>0</v>
      </c>
      <c r="BC62" s="1">
        <f>VLOOKUP($BA62,$W60:$AE63,8,FALSE)</f>
        <v>0</v>
      </c>
      <c r="BD62" s="1">
        <f>VLOOKUP($BA62,$W60:$AE63,6,FALSE)</f>
        <v>0</v>
      </c>
      <c r="BE62" s="1" t="str">
        <f>IF(AND($BB61=$BB62,$BC61=$BC62,$BD62&gt;$BD61),$BA61,$BA62)</f>
        <v>Tunísia</v>
      </c>
      <c r="BF62" s="1">
        <f>VLOOKUP($BE62,$W60:$AE63,9,FALSE)</f>
        <v>0</v>
      </c>
      <c r="BG62" s="1">
        <f>VLOOKUP($BE62,$W60:$AE63,8,FALSE)</f>
        <v>0</v>
      </c>
      <c r="BH62" s="1">
        <f>VLOOKUP($BE62,$W60:$AE63,6,FALSE)</f>
        <v>0</v>
      </c>
      <c r="BL62" s="1" t="str">
        <f>BE62</f>
        <v>Tunísia</v>
      </c>
      <c r="BM62" s="1">
        <f>VLOOKUP($BL62,$W60:$AE63,2,FALSE)</f>
        <v>0</v>
      </c>
      <c r="BN62" s="1">
        <f>VLOOKUP($BL62,$W60:$AE63,3,FALSE)</f>
        <v>0</v>
      </c>
      <c r="BO62" s="1">
        <f>VLOOKUP($BL62,$W60:$AE63,4,FALSE)</f>
        <v>0</v>
      </c>
      <c r="BP62" s="1">
        <f>VLOOKUP($BL62,$W60:$AE63,5,FALSE)</f>
        <v>0</v>
      </c>
      <c r="BQ62" s="1">
        <f>VLOOKUP($BL62,$W60:$AE63,6,FALSE)</f>
        <v>0</v>
      </c>
      <c r="BR62" s="1">
        <f>VLOOKUP($BL62,$W60:$AE63,7,FALSE)</f>
        <v>0</v>
      </c>
      <c r="BS62" s="1">
        <f>VLOOKUP($BL62,$W60:$AE63,8,FALSE)</f>
        <v>0</v>
      </c>
      <c r="BT62" s="1">
        <f>VLOOKUP($BL62,$W60:$AE63,9,FALSE)</f>
        <v>0</v>
      </c>
    </row>
    <row r="63" spans="1:72" ht="15">
      <c r="A63" s="11">
        <v>50</v>
      </c>
      <c r="B63" s="32">
        <v>38892</v>
      </c>
      <c r="C63" s="33">
        <v>0.8333333333333334</v>
      </c>
      <c r="D63" s="35" t="str">
        <f>IF(M20=3,L20,"Vencedor C")</f>
        <v>Vencedor C</v>
      </c>
      <c r="E63" s="26"/>
      <c r="F63" s="26"/>
      <c r="G63" s="38" t="str">
        <f>IF(M28=3,L28,"Segundo D")</f>
        <v>Segundo D</v>
      </c>
      <c r="H63" s="11" t="s">
        <v>70</v>
      </c>
      <c r="J63" s="1">
        <f t="shared" si="10"/>
      </c>
      <c r="K63" s="1">
        <f t="shared" si="11"/>
      </c>
      <c r="W63" s="1" t="s">
        <v>64</v>
      </c>
      <c r="X63" s="1">
        <f>COUNT(A.Saudita_played)</f>
        <v>0</v>
      </c>
      <c r="Y63" s="1">
        <f>COUNTIF($J$8:$J$55,$W63)</f>
        <v>0</v>
      </c>
      <c r="Z63" s="1">
        <f>COUNTIF($K$8:$K$55,$W63)</f>
        <v>0</v>
      </c>
      <c r="AA63" s="1">
        <f>X63-Y63-Z63</f>
        <v>0</v>
      </c>
      <c r="AB63" s="1">
        <f>SUM(A.Saudita_played)</f>
        <v>0</v>
      </c>
      <c r="AC63" s="1">
        <f>SUM(A.Saudita_against)</f>
        <v>0</v>
      </c>
      <c r="AD63" s="1">
        <f>AB63-AC63</f>
        <v>0</v>
      </c>
      <c r="AE63" s="1">
        <f>Y63*3+AA63</f>
        <v>0</v>
      </c>
      <c r="AF63" s="1" t="str">
        <f>IF($AE63&lt;=$AE62,$W63,$W62)</f>
        <v>A.Saudita</v>
      </c>
      <c r="AG63" s="1">
        <f>VLOOKUP($AF63,$W60:$AE63,9,FALSE)</f>
        <v>0</v>
      </c>
      <c r="AH63" s="1" t="str">
        <f>IF(AG63&lt;=AG61,AF63,AF61)</f>
        <v>A.Saudita</v>
      </c>
      <c r="AI63" s="1">
        <f>VLOOKUP($AH63,$W60:$AE63,9,FALSE)</f>
        <v>0</v>
      </c>
      <c r="AJ63" s="1" t="str">
        <f>IF($AI63&lt;=$AI60,$AH63,$AH60)</f>
        <v>A.Saudita</v>
      </c>
      <c r="AK63" s="1">
        <f>VLOOKUP($AJ63,$W60:$AE63,9,FALSE)</f>
        <v>0</v>
      </c>
      <c r="AL63" s="1">
        <f>VLOOKUP($AJ63,$W60:$AE63,8,FALSE)</f>
        <v>0</v>
      </c>
      <c r="AM63" s="1" t="str">
        <f>IF(AND($AK62=$AK63,$AL63&gt;$AL62),$AJ62,$AJ63)</f>
        <v>A.Saudita</v>
      </c>
      <c r="AN63" s="1">
        <f>VLOOKUP($AM63,$W60:$AE63,9,FALSE)</f>
        <v>0</v>
      </c>
      <c r="AO63" s="1">
        <f>VLOOKUP($AM63,$W60:$AE63,8,FALSE)</f>
        <v>0</v>
      </c>
      <c r="AP63" s="1" t="str">
        <f>IF(AND($AN61=$AN63,$AO63&gt;$AO61),$AM61,$AM63)</f>
        <v>A.Saudita</v>
      </c>
      <c r="AQ63" s="1">
        <f>VLOOKUP($AP63,$W60:$AE63,9,FALSE)</f>
        <v>0</v>
      </c>
      <c r="AR63" s="1">
        <f>VLOOKUP($AP63,$W60:$AE63,8,FALSE)</f>
        <v>0</v>
      </c>
      <c r="AS63" s="1" t="str">
        <f>IF(AND($AQ60=$AQ63,$AR63&gt;$AR60),$AP60,$AP63)</f>
        <v>A.Saudita</v>
      </c>
      <c r="AT63" s="1">
        <f>VLOOKUP($AS63,$W60:$AE63,9,FALSE)</f>
        <v>0</v>
      </c>
      <c r="AU63" s="1">
        <f>VLOOKUP($AS63,$W60:$AE63,8,FALSE)</f>
        <v>0</v>
      </c>
      <c r="AV63" s="1">
        <f>VLOOKUP($AS63,$W60:$AE63,6,FALSE)</f>
        <v>0</v>
      </c>
      <c r="AW63" s="1" t="str">
        <f>IF(AND($AT62=$AT63,$AU62=$AU63,$AV63&gt;$AV62),$AS62,$AS63)</f>
        <v>A.Saudita</v>
      </c>
      <c r="AX63" s="1">
        <f>VLOOKUP($AW63,$W60:$AE63,9,FALSE)</f>
        <v>0</v>
      </c>
      <c r="AY63" s="1">
        <f>VLOOKUP($AW63,$W60:$AE63,8,FALSE)</f>
        <v>0</v>
      </c>
      <c r="AZ63" s="1">
        <f>VLOOKUP($AW63,$W60:$AE63,6,FALSE)</f>
        <v>0</v>
      </c>
      <c r="BA63" s="1" t="str">
        <f>IF(AND($AX61=$AX63,$AY61=$AY63,$AZ63&gt;$AZ61),$AW61,$AW63)</f>
        <v>A.Saudita</v>
      </c>
      <c r="BB63" s="1">
        <f>VLOOKUP($BA63,$W60:$AE63,9,FALSE)</f>
        <v>0</v>
      </c>
      <c r="BC63" s="1">
        <f>VLOOKUP($BA63,$W60:$AE63,8,FALSE)</f>
        <v>0</v>
      </c>
      <c r="BD63" s="1">
        <f>VLOOKUP($BA63,$W60:$AE63,6,FALSE)</f>
        <v>0</v>
      </c>
      <c r="BE63" s="1" t="str">
        <f>IF(AND($BB60=$BB63,$BC60=$BC63,$BD63&gt;$BD60),$BA60,$BA63)</f>
        <v>A.Saudita</v>
      </c>
      <c r="BF63" s="1">
        <f>VLOOKUP($BE63,$W60:$AE63,9,FALSE)</f>
        <v>0</v>
      </c>
      <c r="BG63" s="1">
        <f>VLOOKUP($BE63,$W60:$AE63,8,FALSE)</f>
        <v>0</v>
      </c>
      <c r="BH63" s="1">
        <f>VLOOKUP($BE63,$W60:$AE63,6,FALSE)</f>
        <v>0</v>
      </c>
      <c r="BL63" s="1" t="str">
        <f>BE63</f>
        <v>A.Saudita</v>
      </c>
      <c r="BM63" s="1">
        <f>VLOOKUP($BL63,$W60:$AE63,2,FALSE)</f>
        <v>0</v>
      </c>
      <c r="BN63" s="1">
        <f>VLOOKUP($BL63,$W60:$AE63,3,FALSE)</f>
        <v>0</v>
      </c>
      <c r="BO63" s="1">
        <f>VLOOKUP($BL63,$W60:$AE63,4,FALSE)</f>
        <v>0</v>
      </c>
      <c r="BP63" s="1">
        <f>VLOOKUP($BL63,$W60:$AE63,5,FALSE)</f>
        <v>0</v>
      </c>
      <c r="BQ63" s="1">
        <f>VLOOKUP($BL63,$W60:$AE63,6,FALSE)</f>
        <v>0</v>
      </c>
      <c r="BR63" s="1">
        <f>VLOOKUP($BL63,$W60:$AE63,7,FALSE)</f>
        <v>0</v>
      </c>
      <c r="BS63" s="1">
        <f>VLOOKUP($BL63,$W60:$AE63,8,FALSE)</f>
        <v>0</v>
      </c>
      <c r="BT63" s="1">
        <f>VLOOKUP($BL63,$W60:$AE63,9,FALSE)</f>
        <v>0</v>
      </c>
    </row>
    <row r="64" spans="1:11" ht="15">
      <c r="A64" s="11">
        <v>51</v>
      </c>
      <c r="B64" s="32">
        <v>38893</v>
      </c>
      <c r="C64" s="33">
        <v>0.6666666666666666</v>
      </c>
      <c r="D64" s="35" t="str">
        <f>IF(M13=3,L13,"Vencedor B")</f>
        <v>Vencedor B</v>
      </c>
      <c r="E64" s="26"/>
      <c r="F64" s="26"/>
      <c r="G64" s="38" t="str">
        <f>IF(M7=3,L7,"Segundo A")</f>
        <v>Segundo A</v>
      </c>
      <c r="H64" s="11" t="s">
        <v>76</v>
      </c>
      <c r="J64" s="1">
        <f t="shared" si="10"/>
      </c>
      <c r="K64" s="1">
        <f t="shared" si="11"/>
      </c>
    </row>
    <row r="65" spans="1:11" ht="15">
      <c r="A65" s="11">
        <v>52</v>
      </c>
      <c r="B65" s="32">
        <v>38893</v>
      </c>
      <c r="C65" s="33">
        <v>0.8333333333333334</v>
      </c>
      <c r="D65" s="35" t="str">
        <f>IF(M27=3,L27,"Vencedor D")</f>
        <v>Vencedor D</v>
      </c>
      <c r="E65" s="26"/>
      <c r="F65" s="26"/>
      <c r="G65" s="38" t="str">
        <f>IF(M21=3,L21,"Segundo C")</f>
        <v>Segundo C</v>
      </c>
      <c r="H65" s="11" t="s">
        <v>72</v>
      </c>
      <c r="J65" s="1">
        <f t="shared" si="10"/>
      </c>
      <c r="K65" s="1">
        <f t="shared" si="11"/>
      </c>
    </row>
    <row r="66" spans="1:11" ht="15">
      <c r="A66" s="11">
        <v>53</v>
      </c>
      <c r="B66" s="32">
        <v>38894</v>
      </c>
      <c r="C66" s="33">
        <v>0.6666666666666666</v>
      </c>
      <c r="D66" s="35" t="str">
        <f>IF(M34=3,L34,"Vencedor E")</f>
        <v>Vencedor E</v>
      </c>
      <c r="E66" s="26"/>
      <c r="F66" s="26"/>
      <c r="G66" s="38" t="str">
        <f>IF(M42=3,L42,"Segundo F")</f>
        <v>Segundo F</v>
      </c>
      <c r="H66" s="11" t="s">
        <v>80</v>
      </c>
      <c r="J66" s="1">
        <f t="shared" si="10"/>
      </c>
      <c r="K66" s="1">
        <f t="shared" si="11"/>
      </c>
    </row>
    <row r="67" spans="1:11" ht="15">
      <c r="A67" s="11">
        <v>54</v>
      </c>
      <c r="B67" s="32">
        <v>38894</v>
      </c>
      <c r="C67" s="33">
        <v>0.8333333333333334</v>
      </c>
      <c r="D67" s="35" t="str">
        <f>IF(M48=3,L48,"Vencedor G")</f>
        <v>Vencedor G</v>
      </c>
      <c r="E67" s="26"/>
      <c r="F67" s="26"/>
      <c r="G67" s="38" t="str">
        <f>IF(M56=3,L56,"Segundo H")</f>
        <v>Segundo H</v>
      </c>
      <c r="H67" s="11" t="s">
        <v>73</v>
      </c>
      <c r="J67" s="1">
        <f>IF(E75&lt;&gt;"",IF(E75&gt;F75,D75,IF(F75&gt;E75,G75,"Empate")),"")</f>
      </c>
      <c r="K67" s="1">
        <f>IF(E75&lt;&gt;"",IF(E75&lt;F75,D75,IF(F75&lt;E75,G75,"Empate")),"")</f>
      </c>
    </row>
    <row r="68" spans="1:8" ht="15">
      <c r="A68" s="11">
        <v>55</v>
      </c>
      <c r="B68" s="32">
        <v>38895</v>
      </c>
      <c r="C68" s="33">
        <v>0.6666666666666666</v>
      </c>
      <c r="D68" s="35" t="str">
        <f>IF(M41=3,L41,"Vencedor F")</f>
        <v>Vencedor F</v>
      </c>
      <c r="E68" s="26"/>
      <c r="F68" s="26"/>
      <c r="G68" s="38" t="str">
        <f>IF(M35=3,L35,"Segundo E")</f>
        <v>Segundo E</v>
      </c>
      <c r="H68" s="11" t="s">
        <v>69</v>
      </c>
    </row>
    <row r="69" spans="1:11" ht="15">
      <c r="A69" s="11">
        <v>56</v>
      </c>
      <c r="B69" s="32">
        <v>38895</v>
      </c>
      <c r="C69" s="33">
        <v>0.8333333333333334</v>
      </c>
      <c r="D69" s="35" t="str">
        <f>IF(M55=3,L55,"Vencedor H")</f>
        <v>Vencedor H</v>
      </c>
      <c r="E69" s="26"/>
      <c r="F69" s="26"/>
      <c r="G69" s="38" t="str">
        <f>IF(M49=3,L49,"Segundo G")</f>
        <v>Segundo G</v>
      </c>
      <c r="H69" s="11" t="s">
        <v>74</v>
      </c>
      <c r="J69" s="4"/>
      <c r="K69" s="4"/>
    </row>
    <row r="70" spans="10:11" ht="12.75">
      <c r="J70" s="4"/>
      <c r="K70" s="4"/>
    </row>
    <row r="71" spans="1:9" ht="12.75" customHeight="1">
      <c r="A71" s="44"/>
      <c r="B71" s="44"/>
      <c r="C71" s="44"/>
      <c r="D71" s="44"/>
      <c r="E71" s="44"/>
      <c r="F71" s="44"/>
      <c r="G71" s="44"/>
      <c r="H71" s="44"/>
      <c r="I71" s="44"/>
    </row>
    <row r="72" spans="1:11" ht="18">
      <c r="A72" s="24" t="s">
        <v>45</v>
      </c>
      <c r="B72" s="24" t="s">
        <v>0</v>
      </c>
      <c r="C72" s="24" t="s">
        <v>1</v>
      </c>
      <c r="D72" s="43" t="s">
        <v>81</v>
      </c>
      <c r="E72" s="42"/>
      <c r="F72" s="42"/>
      <c r="G72" s="42"/>
      <c r="H72" s="24" t="s">
        <v>47</v>
      </c>
      <c r="I72" s="31"/>
      <c r="J72" s="1">
        <f>IF(E77&lt;&gt;"",IF(E77&gt;F77,D77,IF(F77&gt;E77,G77,"Empate")),"")</f>
      </c>
      <c r="K72" s="1">
        <f>IF(E77&lt;&gt;"",IF(E77&lt;F77,D77,IF(F77&lt;E77,G77,"Empate")),"")</f>
      </c>
    </row>
    <row r="73" spans="10:11" ht="12.75">
      <c r="J73" s="1">
        <f>IF(E75&lt;&gt;"",IF(E75&gt;F75,D75,IF(F75&gt;E75,G75,"Empate")),"")</f>
      </c>
      <c r="K73" s="1">
        <f>IF(E75&lt;&gt;"",IF(E75&lt;F75,D75,IF(F75&lt;E75,G75,"Empate")),"")</f>
      </c>
    </row>
    <row r="74" spans="1:11" ht="15">
      <c r="A74" s="11">
        <v>57</v>
      </c>
      <c r="B74" s="32">
        <v>38898</v>
      </c>
      <c r="C74" s="33">
        <v>0.6666666666666666</v>
      </c>
      <c r="D74" s="35" t="str">
        <f>IF(E62&gt;F62,D62,IF(F62&gt;E62,G62,"Vencedor 49"))</f>
        <v>Vencedor 49</v>
      </c>
      <c r="E74" s="26"/>
      <c r="F74" s="26"/>
      <c r="G74" s="38" t="str">
        <f>IF(E63&gt;F63,D63,IF(F63&gt;E63,G63,"Vencedor 50"))</f>
        <v>Vencedor 50</v>
      </c>
      <c r="H74" s="11" t="s">
        <v>75</v>
      </c>
      <c r="J74" s="1">
        <f>IF(E76&lt;&gt;"",IF(E76&gt;F76,D76,IF(F76&gt;E76,G76,"Empate")),"")</f>
      </c>
      <c r="K74" s="1">
        <f>IF(E76&lt;&gt;"",IF(E76&lt;F76,D76,IF(F76&lt;E76,G76,"Empate")),"")</f>
      </c>
    </row>
    <row r="75" spans="1:11" ht="15">
      <c r="A75" s="11">
        <v>58</v>
      </c>
      <c r="B75" s="32">
        <v>38898</v>
      </c>
      <c r="C75" s="33">
        <v>0.8333333333333334</v>
      </c>
      <c r="D75" s="35" t="str">
        <f>IF(E66&gt;F66,D66,IF(F66&gt;E66,G66,"Vencedor 53"))</f>
        <v>Vencedor 53</v>
      </c>
      <c r="E75" s="26"/>
      <c r="F75" s="26"/>
      <c r="G75" s="38" t="str">
        <f>IF(E67&gt;F67,D67,IF(F67&gt;E67,G67,"Vencedor 54"))</f>
        <v>Vencedor 54</v>
      </c>
      <c r="H75" s="11" t="s">
        <v>77</v>
      </c>
      <c r="J75" s="1">
        <f>IF(E77&lt;&gt;"",IF(E77&gt;F77,D77,IF(F77&gt;E77,G77,"Empate")),"")</f>
      </c>
      <c r="K75" s="1">
        <f>IF(E77&lt;&gt;"",IF(E77&lt;F77,D77,IF(F77&lt;E77,G77,"Empate")),"")</f>
      </c>
    </row>
    <row r="76" spans="1:8" ht="15">
      <c r="A76" s="11">
        <v>59</v>
      </c>
      <c r="B76" s="32">
        <v>38899</v>
      </c>
      <c r="C76" s="33">
        <v>0.6666666666666666</v>
      </c>
      <c r="D76" s="35" t="str">
        <f>IF(E64&gt;F64,D64,IF(F64&gt;E64,G64,"Vencedor 51"))</f>
        <v>Vencedor 51</v>
      </c>
      <c r="E76" s="26"/>
      <c r="F76" s="26"/>
      <c r="G76" s="38" t="str">
        <f>IF(E65&gt;F65,D65,IF(F65&gt;E65,G65,"Vencedor 52"))</f>
        <v>Vencedor 52</v>
      </c>
      <c r="H76" s="11" t="s">
        <v>67</v>
      </c>
    </row>
    <row r="77" spans="1:11" ht="15">
      <c r="A77" s="11">
        <v>60</v>
      </c>
      <c r="B77" s="32">
        <v>38899</v>
      </c>
      <c r="C77" s="33">
        <v>0.8333333333333334</v>
      </c>
      <c r="D77" s="35" t="str">
        <f>IF(E68&gt;F68,D68,IF(F68&gt;E68,G68,"Vencedor 55"))</f>
        <v>Vencedor 55</v>
      </c>
      <c r="E77" s="26"/>
      <c r="F77" s="26"/>
      <c r="G77" s="38" t="str">
        <f>IF(E69&gt;F69,D69,IF(F69&gt;E69,G69,"Vencedor 56"))</f>
        <v>Vencedor 56</v>
      </c>
      <c r="H77" s="11" t="s">
        <v>68</v>
      </c>
      <c r="J77" s="4"/>
      <c r="K77" s="4"/>
    </row>
    <row r="78" spans="10:11" ht="12.75">
      <c r="J78" s="4"/>
      <c r="K78" s="4"/>
    </row>
    <row r="79" spans="1:9" ht="13.5" customHeight="1">
      <c r="A79" s="44"/>
      <c r="B79" s="44"/>
      <c r="C79" s="44"/>
      <c r="D79" s="44"/>
      <c r="E79" s="44"/>
      <c r="F79" s="44"/>
      <c r="G79" s="44"/>
      <c r="H79" s="44"/>
      <c r="I79" s="44"/>
    </row>
    <row r="80" spans="1:11" ht="18">
      <c r="A80" s="24" t="s">
        <v>45</v>
      </c>
      <c r="B80" s="24" t="s">
        <v>0</v>
      </c>
      <c r="C80" s="24" t="s">
        <v>1</v>
      </c>
      <c r="D80" s="43" t="s">
        <v>49</v>
      </c>
      <c r="E80" s="42"/>
      <c r="F80" s="42"/>
      <c r="G80" s="42"/>
      <c r="H80" s="24" t="s">
        <v>47</v>
      </c>
      <c r="I80" s="31"/>
      <c r="J80" s="1">
        <f>IF(E82&lt;&gt;"",IF(E82&gt;F82,D82,IF(F82&gt;E82,G82,"Empate")),"")</f>
      </c>
      <c r="K80" s="1">
        <f>IF(E82&lt;&gt;"",IF(E82&lt;F82,D82,IF(F82&lt;E82,G82,"Empate")),"")</f>
      </c>
    </row>
    <row r="81" spans="10:11" ht="12.75">
      <c r="J81" s="1">
        <f>IF(E83&lt;&gt;"",IF(E83&gt;F83,D83,IF(F83&gt;E83,G83,"Empate")),"")</f>
      </c>
      <c r="K81" s="1">
        <f>IF(E83&lt;&gt;"",IF(E83&lt;F83,D83,IF(F83&lt;E83,G83,"Empate")),"")</f>
      </c>
    </row>
    <row r="82" spans="1:8" ht="15">
      <c r="A82" s="11">
        <v>61</v>
      </c>
      <c r="B82" s="32">
        <v>38902</v>
      </c>
      <c r="C82" s="33">
        <v>0.8333333333333334</v>
      </c>
      <c r="D82" s="35" t="str">
        <f>IF(E74&gt;F74,D74,IF(F74&gt;E74,G74,"Vencedor 57"))</f>
        <v>Vencedor 57</v>
      </c>
      <c r="E82" s="26"/>
      <c r="F82" s="26"/>
      <c r="G82" s="38" t="str">
        <f>IF(E75&gt;F75,D75,IF(F75&gt;E75,G75,"Vencedor 58"))</f>
        <v>Vencedor 58</v>
      </c>
      <c r="H82" s="11" t="s">
        <v>69</v>
      </c>
    </row>
    <row r="83" spans="1:11" ht="15">
      <c r="A83" s="11">
        <v>62</v>
      </c>
      <c r="B83" s="32">
        <v>38903</v>
      </c>
      <c r="C83" s="33">
        <v>0.8333333333333334</v>
      </c>
      <c r="D83" s="35" t="str">
        <f>IF(E76&gt;F76,D76,IF(F76&gt;E76,G76,"Vencedor 59"))</f>
        <v>Vencedor 59</v>
      </c>
      <c r="E83" s="26"/>
      <c r="F83" s="26"/>
      <c r="G83" s="38" t="str">
        <f>IF(E77&gt;F77,D77,IF(F77&gt;E77,G77,"Vencedor 60"))</f>
        <v>Vencedor 60</v>
      </c>
      <c r="H83" s="11" t="s">
        <v>71</v>
      </c>
      <c r="J83" s="4"/>
      <c r="K83" s="4"/>
    </row>
    <row r="84" spans="10:11" ht="12.75">
      <c r="J84" s="4"/>
      <c r="K84" s="4"/>
    </row>
    <row r="85" spans="1:9" ht="13.5" customHeight="1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8">
      <c r="A86" s="24" t="s">
        <v>45</v>
      </c>
      <c r="B86" s="24" t="s">
        <v>0</v>
      </c>
      <c r="C86" s="24" t="s">
        <v>1</v>
      </c>
      <c r="D86" s="42" t="s">
        <v>82</v>
      </c>
      <c r="E86" s="42"/>
      <c r="F86" s="42"/>
      <c r="G86" s="42"/>
      <c r="H86" s="24" t="s">
        <v>47</v>
      </c>
      <c r="I86" s="31"/>
    </row>
    <row r="88" spans="1:11" ht="15">
      <c r="A88" s="11">
        <v>63</v>
      </c>
      <c r="B88" s="32">
        <v>38541</v>
      </c>
      <c r="C88" s="33">
        <v>0.8333333333333334</v>
      </c>
      <c r="D88" s="35" t="str">
        <f>IF(E82&lt;F82,D82,IF(F82&lt;E82,G82,"Perdedor 61"))</f>
        <v>Perdedor 61</v>
      </c>
      <c r="E88" s="26"/>
      <c r="F88" s="26"/>
      <c r="G88" s="38" t="str">
        <f>IF(E83&lt;F83,D83,IF(F83&lt;E83,G83,"Perdedor 62"))</f>
        <v>Perdedor 62</v>
      </c>
      <c r="H88" s="11" t="s">
        <v>76</v>
      </c>
      <c r="J88" s="4"/>
      <c r="K88" s="4"/>
    </row>
    <row r="89" spans="10:11" ht="12.75">
      <c r="J89" s="4"/>
      <c r="K89" s="4"/>
    </row>
    <row r="90" spans="1:9" ht="12.75" customHeight="1">
      <c r="A90" s="44"/>
      <c r="B90" s="44"/>
      <c r="C90" s="44"/>
      <c r="D90" s="44"/>
      <c r="E90" s="44"/>
      <c r="F90" s="44"/>
      <c r="G90" s="44"/>
      <c r="H90" s="44"/>
      <c r="I90" s="44"/>
    </row>
    <row r="91" spans="1:11" ht="18">
      <c r="A91" s="24" t="s">
        <v>45</v>
      </c>
      <c r="B91" s="24" t="s">
        <v>0</v>
      </c>
      <c r="C91" s="24" t="s">
        <v>1</v>
      </c>
      <c r="D91" s="42" t="s">
        <v>46</v>
      </c>
      <c r="E91" s="42"/>
      <c r="F91" s="42"/>
      <c r="G91" s="42"/>
      <c r="H91" s="24" t="s">
        <v>47</v>
      </c>
      <c r="I91" s="31"/>
      <c r="J91" s="1">
        <f>IF(E93&lt;&gt;"",IF(E93&gt;F93,D93,IF(F93&gt;E93,G93,"Empate")),"")</f>
      </c>
      <c r="K91" s="1">
        <f>IF(E93&lt;&gt;"",IF(E93&lt;F93,D93,IF(F93&lt;E93,G93,"Empate")),"")</f>
      </c>
    </row>
    <row r="93" spans="1:11" ht="15">
      <c r="A93" s="11">
        <v>64</v>
      </c>
      <c r="B93" s="32">
        <v>38907</v>
      </c>
      <c r="C93" s="33">
        <v>0.7916666666666666</v>
      </c>
      <c r="D93" s="35" t="str">
        <f>IF(E82&gt;F82,D82,IF(F82&gt;E82,G82,"Vencedor 61"))</f>
        <v>Vencedor 61</v>
      </c>
      <c r="E93" s="26"/>
      <c r="F93" s="26"/>
      <c r="G93" s="38" t="str">
        <f>IF(E83&gt;F83,D83,IF(F83&gt;E83,G83,"Vencedor 62"))</f>
        <v>Vencedor 62</v>
      </c>
      <c r="H93" s="11" t="s">
        <v>75</v>
      </c>
      <c r="J93" s="5"/>
      <c r="K93" s="5"/>
    </row>
    <row r="94" spans="10:11" ht="12.75">
      <c r="J94" s="5"/>
      <c r="K94" s="5"/>
    </row>
    <row r="95" spans="2:9" ht="22.5">
      <c r="B95" s="5"/>
      <c r="C95" s="27"/>
      <c r="D95" s="28"/>
      <c r="E95" s="28"/>
      <c r="F95" s="29" t="s">
        <v>84</v>
      </c>
      <c r="G95" s="30">
        <f>IF(E93&gt;F93,D93,IF(F93&gt;E93,G93,""))</f>
      </c>
      <c r="H95" s="5"/>
      <c r="I95" s="6"/>
    </row>
    <row r="96" spans="2:9" ht="12.75">
      <c r="B96" s="5"/>
      <c r="C96" s="5"/>
      <c r="D96" s="5"/>
      <c r="E96" s="6"/>
      <c r="F96" s="6"/>
      <c r="G96" s="5"/>
      <c r="H96" s="5"/>
      <c r="I96" s="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mergeCells count="21">
    <mergeCell ref="L46:L47"/>
    <mergeCell ref="A2:T2"/>
    <mergeCell ref="L4:L5"/>
    <mergeCell ref="L11:L12"/>
    <mergeCell ref="L18:L19"/>
    <mergeCell ref="L53:L54"/>
    <mergeCell ref="L25:L26"/>
    <mergeCell ref="D80:G80"/>
    <mergeCell ref="D86:G86"/>
    <mergeCell ref="A71:I71"/>
    <mergeCell ref="A59:I59"/>
    <mergeCell ref="A85:I85"/>
    <mergeCell ref="A79:I79"/>
    <mergeCell ref="L32:L33"/>
    <mergeCell ref="L39:L40"/>
    <mergeCell ref="D91:G91"/>
    <mergeCell ref="D5:G5"/>
    <mergeCell ref="D60:G60"/>
    <mergeCell ref="D72:G72"/>
    <mergeCell ref="A90:I90"/>
    <mergeCell ref="B7:D7"/>
  </mergeCells>
  <printOptions/>
  <pageMargins left="0.21" right="0.28" top="0.58" bottom="0.57" header="0.5" footer="0.5"/>
  <pageSetup horizontalDpi="600" verticalDpi="600" orientation="portrait" paperSize="9" scale="80" r:id="rId3"/>
  <rowBreaks count="1" manualBreakCount="1">
    <brk id="58" max="19" man="1"/>
  </rowBreak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JR</Manager>
  <Company>Joe Blue Dolphin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do Mundo 2006 - ALEMANHA</dc:title>
  <dc:subject>FUTEBOL</dc:subject>
  <dc:creator>Jorge Rabaça</dc:creator>
  <cp:keywords/>
  <dc:description/>
  <cp:lastModifiedBy>kbabic</cp:lastModifiedBy>
  <cp:lastPrinted>2005-12-12T16:42:15Z</cp:lastPrinted>
  <dcterms:created xsi:type="dcterms:W3CDTF">2001-12-05T11:10:54Z</dcterms:created>
  <dcterms:modified xsi:type="dcterms:W3CDTF">2006-05-02T09:57:19Z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